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05" windowWidth="18555" windowHeight="8625" tabRatio="781"/>
  </bookViews>
  <sheets>
    <sheet name="Increasing Tax" sheetId="1" r:id="rId1"/>
    <sheet name="Flat Tax" sheetId="2" r:id="rId2"/>
    <sheet name="LOC Savings" sheetId="3" r:id="rId3"/>
    <sheet name="Term LOC" sheetId="4" r:id="rId4"/>
    <sheet name="Paydown Calc" sheetId="5" r:id="rId5"/>
    <sheet name="Amort. Table 1" sheetId="6" r:id="rId6"/>
    <sheet name="Amort. Table 2" sheetId="7" r:id="rId7"/>
    <sheet name="Mtg. Tax Savings" sheetId="8" r:id="rId8"/>
    <sheet name="Compound Inv." sheetId="9" r:id="rId9"/>
    <sheet name="Flat Tax Inv." sheetId="10" r:id="rId10"/>
    <sheet name="Fut Value" sheetId="11" r:id="rId11"/>
    <sheet name="Var Ass" sheetId="12" r:id="rId12"/>
    <sheet name="Inflation" sheetId="13" r:id="rId13"/>
    <sheet name="Mtg Paydown Calc" sheetId="14" r:id="rId14"/>
  </sheets>
  <definedNames>
    <definedName name="COMPOUNDLOC">'Increasing Tax'!$A$13:$E$44</definedName>
    <definedName name="CURRENT_MORT">'Amort. Table 1'!$B$1:$H$38</definedName>
    <definedName name="FLAT_TAX">'Flat Tax'!$A$13:$E$44</definedName>
    <definedName name="HOME_EQUITY">'Amort. Table 1'!$A$1:$H$18</definedName>
    <definedName name="INFLATION">#REF!</definedName>
    <definedName name="LOAN_AMORT.">'Amort. Table 1'!$B$1:$F$41</definedName>
    <definedName name="NEW_">#REF!</definedName>
    <definedName name="OLD_">#REF!</definedName>
    <definedName name="_xlnm.Print_Area" localSheetId="5">'Amort. Table 1'!$A$1:$H$50</definedName>
    <definedName name="_xlnm.Print_Area" localSheetId="6">'Amort. Table 2'!$A$1:$H$50</definedName>
    <definedName name="_xlnm.Print_Area" localSheetId="8">'Compound Inv.'!$A$1:$J$55</definedName>
    <definedName name="_xlnm.Print_Area" localSheetId="1">'Flat Tax'!$A$1:$E$54</definedName>
    <definedName name="_xlnm.Print_Area" localSheetId="9">'Flat Tax Inv.'!$A$1:$J$55</definedName>
    <definedName name="_xlnm.Print_Area" localSheetId="0">'Increasing Tax'!$A$1:$E$54</definedName>
    <definedName name="_xlnm.Print_Area" localSheetId="7">'Mtg. Tax Savings'!$A$1:$G$51</definedName>
    <definedName name="_xlnm.Print_Area" localSheetId="4">'Paydown Calc'!$A$1:$G$54</definedName>
    <definedName name="_xlnm.Print_Area" localSheetId="3">'Term LOC'!$A$1:$E$51</definedName>
  </definedNames>
  <calcPr calcId="125725"/>
</workbook>
</file>

<file path=xl/calcChain.xml><?xml version="1.0" encoding="utf-8"?>
<calcChain xmlns="http://schemas.openxmlformats.org/spreadsheetml/2006/main">
  <c r="E25" i="14"/>
  <c r="D25"/>
  <c r="F25"/>
  <c r="C25"/>
  <c r="F8"/>
  <c r="F9"/>
  <c r="F10"/>
  <c r="F11"/>
  <c r="F12"/>
  <c r="F13"/>
  <c r="F14"/>
  <c r="F15"/>
  <c r="F16"/>
  <c r="F17"/>
  <c r="F18"/>
  <c r="F19"/>
  <c r="F20"/>
  <c r="F21"/>
  <c r="F22"/>
  <c r="D11" i="13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G12" i="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 i="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C12" i="12"/>
  <c r="E12"/>
  <c r="F12"/>
  <c r="C7" i="6"/>
  <c r="C10"/>
  <c r="A10"/>
  <c r="A11"/>
  <c r="H61"/>
  <c r="G61"/>
  <c r="F61"/>
  <c r="D61"/>
  <c r="C7" i="7"/>
  <c r="C10"/>
  <c r="A10"/>
  <c r="D10"/>
  <c r="B10"/>
  <c r="A15" i="9"/>
  <c r="B15"/>
  <c r="C15"/>
  <c r="D15"/>
  <c r="G15"/>
  <c r="I15"/>
  <c r="E15"/>
  <c r="H15"/>
  <c r="A14" i="2"/>
  <c r="C14"/>
  <c r="B14"/>
  <c r="A15" i="10"/>
  <c r="G11"/>
  <c r="B15"/>
  <c r="E4"/>
  <c r="E11"/>
  <c r="A14" i="1"/>
  <c r="B14"/>
  <c r="C14"/>
  <c r="D14"/>
  <c r="C9" i="3"/>
  <c r="A10" i="8"/>
  <c r="A14" i="5"/>
  <c r="B14"/>
  <c r="C14"/>
  <c r="B11" i="4"/>
  <c r="B12"/>
  <c r="D10" i="6"/>
  <c r="B10"/>
  <c r="B10" i="8"/>
  <c r="E14" i="1"/>
  <c r="F15" i="9"/>
  <c r="A11" i="7"/>
  <c r="C11"/>
  <c r="A12"/>
  <c r="A13"/>
  <c r="C13"/>
  <c r="A14"/>
  <c r="D14"/>
  <c r="C14"/>
  <c r="A15" i="2"/>
  <c r="D14"/>
  <c r="A16" i="9"/>
  <c r="J15"/>
  <c r="D11" i="7"/>
  <c r="C10" i="8"/>
  <c r="B13" i="4"/>
  <c r="D12"/>
  <c r="A15" i="5"/>
  <c r="D14"/>
  <c r="F14"/>
  <c r="D11" i="6"/>
  <c r="A12"/>
  <c r="A13"/>
  <c r="H12" i="12"/>
  <c r="C13"/>
  <c r="E13"/>
  <c r="D12" i="6"/>
  <c r="A16" i="5"/>
  <c r="B15"/>
  <c r="D15"/>
  <c r="C15"/>
  <c r="D13" i="4"/>
  <c r="B14"/>
  <c r="C16" i="9"/>
  <c r="B16"/>
  <c r="D16"/>
  <c r="E16"/>
  <c r="A17"/>
  <c r="F16"/>
  <c r="G16"/>
  <c r="I16"/>
  <c r="J16"/>
  <c r="H16"/>
  <c r="B15" i="2"/>
  <c r="A16"/>
  <c r="C15"/>
  <c r="D15"/>
  <c r="D10" i="3" s="1"/>
  <c r="E11" i="7"/>
  <c r="E14" i="5"/>
  <c r="G14"/>
  <c r="D9" i="3"/>
  <c r="E9" s="1"/>
  <c r="E14" i="2"/>
  <c r="F15" i="5"/>
  <c r="G15"/>
  <c r="E15"/>
  <c r="A17"/>
  <c r="B16"/>
  <c r="D16"/>
  <c r="C16"/>
  <c r="C17" i="9"/>
  <c r="B17"/>
  <c r="F17"/>
  <c r="E17"/>
  <c r="H17"/>
  <c r="A18"/>
  <c r="B15" i="4"/>
  <c r="D14"/>
  <c r="A19" i="9"/>
  <c r="C18"/>
  <c r="D17"/>
  <c r="G17"/>
  <c r="I17"/>
  <c r="J17"/>
  <c r="C17" i="5"/>
  <c r="A18"/>
  <c r="B16" i="4"/>
  <c r="D15"/>
  <c r="C18" i="5"/>
  <c r="A19"/>
  <c r="B18" i="9"/>
  <c r="B17" i="4"/>
  <c r="D16"/>
  <c r="C19" i="9"/>
  <c r="A20"/>
  <c r="A21"/>
  <c r="C20"/>
  <c r="D17" i="4"/>
  <c r="B18"/>
  <c r="E18" i="9"/>
  <c r="H18"/>
  <c r="I18"/>
  <c r="J18"/>
  <c r="D18"/>
  <c r="F18"/>
  <c r="C19" i="5"/>
  <c r="A20"/>
  <c r="C21" i="9"/>
  <c r="A22"/>
  <c r="C20" i="5"/>
  <c r="A21"/>
  <c r="G18" i="9"/>
  <c r="B19"/>
  <c r="B19" i="4"/>
  <c r="D18"/>
  <c r="B20"/>
  <c r="D19"/>
  <c r="D19" i="9"/>
  <c r="G19"/>
  <c r="E19"/>
  <c r="H19"/>
  <c r="F19"/>
  <c r="B20"/>
  <c r="C21" i="5"/>
  <c r="A22"/>
  <c r="C22" i="9"/>
  <c r="A23"/>
  <c r="C22" i="5"/>
  <c r="A23"/>
  <c r="C23" i="9"/>
  <c r="A24"/>
  <c r="D20" i="4"/>
  <c r="B21"/>
  <c r="B22"/>
  <c r="D21"/>
  <c r="C24" i="9"/>
  <c r="A25"/>
  <c r="C23" i="5"/>
  <c r="A24"/>
  <c r="C24"/>
  <c r="A25"/>
  <c r="C25" i="9"/>
  <c r="A26"/>
  <c r="C26"/>
  <c r="A27"/>
  <c r="A26" i="5"/>
  <c r="C25"/>
  <c r="A27"/>
  <c r="C27"/>
  <c r="C26"/>
  <c r="A28" i="9"/>
  <c r="C27"/>
  <c r="A28" i="5"/>
  <c r="A29"/>
  <c r="A29" i="9"/>
  <c r="C28"/>
  <c r="A30"/>
  <c r="A31"/>
  <c r="A32"/>
  <c r="A33"/>
  <c r="A34"/>
  <c r="C29"/>
  <c r="C28" i="5"/>
  <c r="A30"/>
  <c r="C30" i="9"/>
  <c r="C31"/>
  <c r="A31" i="5"/>
  <c r="C30"/>
  <c r="B30"/>
  <c r="F30"/>
  <c r="B31"/>
  <c r="C31"/>
  <c r="D31"/>
  <c r="F31"/>
  <c r="C32" i="9"/>
  <c r="C33"/>
  <c r="C34"/>
  <c r="A35"/>
  <c r="A36"/>
  <c r="C35"/>
  <c r="D36"/>
  <c r="I36"/>
  <c r="C36"/>
  <c r="H36"/>
  <c r="F36"/>
  <c r="B36"/>
  <c r="E36"/>
  <c r="A37"/>
  <c r="I37"/>
  <c r="G36"/>
  <c r="J36"/>
  <c r="D37"/>
  <c r="C37"/>
  <c r="F37"/>
  <c r="E37"/>
  <c r="G37"/>
  <c r="J37"/>
  <c r="A38"/>
  <c r="B37"/>
  <c r="H37"/>
  <c r="G31" i="5"/>
  <c r="E31"/>
  <c r="A32"/>
  <c r="E16"/>
  <c r="G16"/>
  <c r="D30"/>
  <c r="G30"/>
  <c r="E30"/>
  <c r="C29"/>
  <c r="D22" i="4"/>
  <c r="B23"/>
  <c r="F20" i="9"/>
  <c r="E20"/>
  <c r="D20"/>
  <c r="I19"/>
  <c r="F16" i="5"/>
  <c r="B17"/>
  <c r="E15" i="2"/>
  <c r="H13" i="12"/>
  <c r="C14"/>
  <c r="F13"/>
  <c r="D12" i="7"/>
  <c r="C12"/>
  <c r="E12"/>
  <c r="D11" i="4"/>
  <c r="A15" i="7"/>
  <c r="E14"/>
  <c r="D13"/>
  <c r="E13"/>
  <c r="A15" i="1"/>
  <c r="B9" i="3"/>
  <c r="E10" i="7"/>
  <c r="B11"/>
  <c r="B12"/>
  <c r="A16" i="1"/>
  <c r="B15"/>
  <c r="C15"/>
  <c r="D15"/>
  <c r="B10" i="3"/>
  <c r="B13" i="7"/>
  <c r="A16"/>
  <c r="C15"/>
  <c r="E15"/>
  <c r="D15"/>
  <c r="E14" i="12"/>
  <c r="F14"/>
  <c r="J19" i="9"/>
  <c r="G20"/>
  <c r="D23" i="4"/>
  <c r="B24"/>
  <c r="E32" i="5"/>
  <c r="F32"/>
  <c r="D32"/>
  <c r="G32"/>
  <c r="B32"/>
  <c r="A33"/>
  <c r="C32"/>
  <c r="B14" i="7"/>
  <c r="D17" i="5"/>
  <c r="B21" i="9"/>
  <c r="H20"/>
  <c r="E38"/>
  <c r="G38"/>
  <c r="D38"/>
  <c r="C38"/>
  <c r="F38"/>
  <c r="B38"/>
  <c r="A39"/>
  <c r="J38"/>
  <c r="I38"/>
  <c r="H38"/>
  <c r="H14" i="12"/>
  <c r="C15"/>
  <c r="C10" i="3"/>
  <c r="E15" i="1"/>
  <c r="D21" i="9"/>
  <c r="E21"/>
  <c r="F21"/>
  <c r="E17" i="5"/>
  <c r="F17"/>
  <c r="B33"/>
  <c r="C33"/>
  <c r="D33"/>
  <c r="F33"/>
  <c r="G33"/>
  <c r="E33"/>
  <c r="A34"/>
  <c r="D24" i="4"/>
  <c r="B25"/>
  <c r="I20" i="9"/>
  <c r="D16" i="7"/>
  <c r="E16"/>
  <c r="C16"/>
  <c r="A17"/>
  <c r="F12"/>
  <c r="G12"/>
  <c r="H12"/>
  <c r="F11"/>
  <c r="G11"/>
  <c r="H11"/>
  <c r="F10"/>
  <c r="G10"/>
  <c r="H10"/>
  <c r="D39" i="9"/>
  <c r="C39"/>
  <c r="F39"/>
  <c r="E39"/>
  <c r="G39"/>
  <c r="I39"/>
  <c r="H39"/>
  <c r="B39"/>
  <c r="A40"/>
  <c r="J39"/>
  <c r="B15" i="7"/>
  <c r="F13"/>
  <c r="G13"/>
  <c r="H13"/>
  <c r="A17" i="1"/>
  <c r="B11" i="3"/>
  <c r="B16" i="1"/>
  <c r="C16"/>
  <c r="D16"/>
  <c r="C11" i="3"/>
  <c r="E16" i="1"/>
  <c r="B12" i="3"/>
  <c r="A18" i="1"/>
  <c r="B17"/>
  <c r="C17"/>
  <c r="D17"/>
  <c r="F14" i="7"/>
  <c r="G14"/>
  <c r="H14"/>
  <c r="C17"/>
  <c r="D17"/>
  <c r="E17"/>
  <c r="A18"/>
  <c r="B26" i="4"/>
  <c r="D25"/>
  <c r="A35" i="5"/>
  <c r="C34"/>
  <c r="B34"/>
  <c r="F34"/>
  <c r="D34"/>
  <c r="G34"/>
  <c r="E34"/>
  <c r="B18"/>
  <c r="H21" i="9"/>
  <c r="E15" i="12"/>
  <c r="H15"/>
  <c r="C16"/>
  <c r="F15"/>
  <c r="D40" i="9"/>
  <c r="C40"/>
  <c r="F40"/>
  <c r="E40"/>
  <c r="G40"/>
  <c r="I40"/>
  <c r="H40"/>
  <c r="B40"/>
  <c r="A41"/>
  <c r="J40"/>
  <c r="B16" i="7"/>
  <c r="B17"/>
  <c r="J20" i="9"/>
  <c r="G17" i="5"/>
  <c r="B22" i="9"/>
  <c r="G21"/>
  <c r="E16" i="12"/>
  <c r="H16"/>
  <c r="C17"/>
  <c r="F16"/>
  <c r="C12" i="3"/>
  <c r="E17" i="1"/>
  <c r="D22" i="9"/>
  <c r="F22"/>
  <c r="E22"/>
  <c r="B23"/>
  <c r="E41"/>
  <c r="G41"/>
  <c r="D41"/>
  <c r="C41"/>
  <c r="F41"/>
  <c r="B41"/>
  <c r="A42"/>
  <c r="J41"/>
  <c r="I41"/>
  <c r="H41"/>
  <c r="B13" i="3"/>
  <c r="A19" i="1"/>
  <c r="B18"/>
  <c r="C18"/>
  <c r="D18"/>
  <c r="I21" i="9"/>
  <c r="F16" i="7"/>
  <c r="G16"/>
  <c r="H16"/>
  <c r="D18" i="5"/>
  <c r="G35"/>
  <c r="E35"/>
  <c r="A36"/>
  <c r="B35"/>
  <c r="C35"/>
  <c r="D35"/>
  <c r="F35"/>
  <c r="B27" i="4"/>
  <c r="D26"/>
  <c r="B18" i="7"/>
  <c r="F17"/>
  <c r="G17"/>
  <c r="H17"/>
  <c r="A19"/>
  <c r="D18"/>
  <c r="C18"/>
  <c r="E18"/>
  <c r="F15"/>
  <c r="G15"/>
  <c r="H15"/>
  <c r="C13" i="3"/>
  <c r="E18" i="1"/>
  <c r="B28" i="4"/>
  <c r="D27"/>
  <c r="E18" i="5"/>
  <c r="F18"/>
  <c r="B14" i="3"/>
  <c r="A20" i="1"/>
  <c r="B19"/>
  <c r="C19"/>
  <c r="D19"/>
  <c r="D42" i="9"/>
  <c r="C42"/>
  <c r="F42"/>
  <c r="E42"/>
  <c r="G42"/>
  <c r="I42"/>
  <c r="H42"/>
  <c r="B42"/>
  <c r="A43"/>
  <c r="J42"/>
  <c r="D23"/>
  <c r="G23"/>
  <c r="F23"/>
  <c r="E23"/>
  <c r="H23"/>
  <c r="F17" i="12"/>
  <c r="E17"/>
  <c r="H17"/>
  <c r="C18"/>
  <c r="C19" i="7"/>
  <c r="A20"/>
  <c r="D19"/>
  <c r="E19"/>
  <c r="B19"/>
  <c r="F18"/>
  <c r="G18"/>
  <c r="H18"/>
  <c r="E36" i="5"/>
  <c r="A37"/>
  <c r="C36"/>
  <c r="B36"/>
  <c r="F36"/>
  <c r="D36"/>
  <c r="G36"/>
  <c r="J21" i="9"/>
  <c r="H22"/>
  <c r="G22"/>
  <c r="E18" i="12"/>
  <c r="F18"/>
  <c r="C14" i="3"/>
  <c r="E19" i="1"/>
  <c r="I22" i="9"/>
  <c r="I23"/>
  <c r="J23"/>
  <c r="D43"/>
  <c r="C43"/>
  <c r="F43"/>
  <c r="E43"/>
  <c r="G43"/>
  <c r="I43"/>
  <c r="H43"/>
  <c r="B43"/>
  <c r="A44"/>
  <c r="J43"/>
  <c r="B19" i="5"/>
  <c r="G18"/>
  <c r="B29" i="4"/>
  <c r="D28"/>
  <c r="B37" i="5"/>
  <c r="C37"/>
  <c r="D37"/>
  <c r="F37"/>
  <c r="G37"/>
  <c r="E37"/>
  <c r="A38"/>
  <c r="B20" i="7"/>
  <c r="F19"/>
  <c r="G19"/>
  <c r="H19"/>
  <c r="A21"/>
  <c r="D20"/>
  <c r="C20"/>
  <c r="E20"/>
  <c r="B24" i="9"/>
  <c r="B15" i="3"/>
  <c r="A21" i="1"/>
  <c r="B20"/>
  <c r="C20"/>
  <c r="D20"/>
  <c r="C15" i="3"/>
  <c r="E20" i="1"/>
  <c r="A22"/>
  <c r="B16" i="3"/>
  <c r="B21" i="1"/>
  <c r="C21"/>
  <c r="D21"/>
  <c r="C21" i="7"/>
  <c r="E21"/>
  <c r="D21"/>
  <c r="B21"/>
  <c r="F20"/>
  <c r="G20"/>
  <c r="H20"/>
  <c r="A22"/>
  <c r="E38" i="5"/>
  <c r="A39"/>
  <c r="C38"/>
  <c r="B38"/>
  <c r="F38"/>
  <c r="D38"/>
  <c r="G38"/>
  <c r="E24" i="9"/>
  <c r="F24"/>
  <c r="D24"/>
  <c r="D29" i="4"/>
  <c r="B30"/>
  <c r="D19" i="5"/>
  <c r="D44" i="9"/>
  <c r="C44"/>
  <c r="F44"/>
  <c r="E44"/>
  <c r="G44"/>
  <c r="I44"/>
  <c r="H44"/>
  <c r="B44"/>
  <c r="A45"/>
  <c r="J44"/>
  <c r="J22"/>
  <c r="H18" i="12"/>
  <c r="C19"/>
  <c r="C16" i="3"/>
  <c r="E21" i="1"/>
  <c r="E19" i="12"/>
  <c r="F19"/>
  <c r="H19"/>
  <c r="C20"/>
  <c r="D45" i="9"/>
  <c r="C45"/>
  <c r="F45"/>
  <c r="E45"/>
  <c r="G45"/>
  <c r="I45"/>
  <c r="H45"/>
  <c r="B45"/>
  <c r="A46"/>
  <c r="J45"/>
  <c r="D30" i="4"/>
  <c r="B31"/>
  <c r="G24" i="9"/>
  <c r="B25"/>
  <c r="B39" i="5"/>
  <c r="C39"/>
  <c r="D39"/>
  <c r="F39"/>
  <c r="G39"/>
  <c r="E39"/>
  <c r="A40"/>
  <c r="E19"/>
  <c r="G19"/>
  <c r="F19"/>
  <c r="H24" i="9"/>
  <c r="D22" i="7"/>
  <c r="C22"/>
  <c r="B22"/>
  <c r="F21"/>
  <c r="G21"/>
  <c r="H21"/>
  <c r="A23"/>
  <c r="E22"/>
  <c r="A23" i="1"/>
  <c r="B17" i="3"/>
  <c r="B22" i="1"/>
  <c r="C22"/>
  <c r="D22"/>
  <c r="C17" i="3"/>
  <c r="E22" i="1"/>
  <c r="E20" i="12"/>
  <c r="F20"/>
  <c r="H20"/>
  <c r="C21"/>
  <c r="B18" i="3"/>
  <c r="A24" i="1"/>
  <c r="B23"/>
  <c r="C23"/>
  <c r="D23"/>
  <c r="C23" i="7"/>
  <c r="B23"/>
  <c r="F22"/>
  <c r="G22"/>
  <c r="H22"/>
  <c r="A24"/>
  <c r="D23"/>
  <c r="E23"/>
  <c r="B20" i="5"/>
  <c r="D25" i="9"/>
  <c r="E25"/>
  <c r="F25"/>
  <c r="B26"/>
  <c r="I24"/>
  <c r="B46"/>
  <c r="A47"/>
  <c r="J46"/>
  <c r="I46"/>
  <c r="H46"/>
  <c r="E46"/>
  <c r="G46"/>
  <c r="D46"/>
  <c r="C46"/>
  <c r="F46"/>
  <c r="D40" i="5"/>
  <c r="G40"/>
  <c r="E40"/>
  <c r="A41"/>
  <c r="C40"/>
  <c r="B40"/>
  <c r="F40"/>
  <c r="B32" i="4"/>
  <c r="D31"/>
  <c r="C18" i="3"/>
  <c r="E23" i="1"/>
  <c r="F21" i="12"/>
  <c r="E21"/>
  <c r="H21"/>
  <c r="C22"/>
  <c r="B33" i="4"/>
  <c r="D32"/>
  <c r="E26" i="9"/>
  <c r="H26"/>
  <c r="D26"/>
  <c r="G26"/>
  <c r="B27"/>
  <c r="F26"/>
  <c r="H25"/>
  <c r="D20" i="5"/>
  <c r="B19" i="3"/>
  <c r="A25" i="1"/>
  <c r="B24"/>
  <c r="C24"/>
  <c r="D24"/>
  <c r="C19" i="3"/>
  <c r="E24" i="1"/>
  <c r="A42" i="5"/>
  <c r="B41"/>
  <c r="G41"/>
  <c r="D41"/>
  <c r="F41"/>
  <c r="C41"/>
  <c r="E41"/>
  <c r="E47" i="9"/>
  <c r="G47"/>
  <c r="D47"/>
  <c r="C47"/>
  <c r="F47"/>
  <c r="B47"/>
  <c r="A48"/>
  <c r="J47"/>
  <c r="I47"/>
  <c r="H47"/>
  <c r="J24"/>
  <c r="G25"/>
  <c r="A25" i="7"/>
  <c r="B24"/>
  <c r="F23"/>
  <c r="G23"/>
  <c r="H23"/>
  <c r="D24"/>
  <c r="C24"/>
  <c r="E24"/>
  <c r="B42" i="5"/>
  <c r="F42"/>
  <c r="D42"/>
  <c r="G42"/>
  <c r="E42"/>
  <c r="A43"/>
  <c r="C42"/>
  <c r="A26" i="1"/>
  <c r="B20" i="3"/>
  <c r="B25" i="1"/>
  <c r="C25"/>
  <c r="D25"/>
  <c r="I26" i="9"/>
  <c r="J26"/>
  <c r="B34" i="4"/>
  <c r="D33"/>
  <c r="B25" i="7"/>
  <c r="F24"/>
  <c r="G24"/>
  <c r="H24"/>
  <c r="A26"/>
  <c r="C25"/>
  <c r="E25"/>
  <c r="D25"/>
  <c r="I25" i="9"/>
  <c r="J25"/>
  <c r="D48"/>
  <c r="C48"/>
  <c r="F48"/>
  <c r="E48"/>
  <c r="G48"/>
  <c r="I48"/>
  <c r="H48"/>
  <c r="B48"/>
  <c r="A49"/>
  <c r="J48"/>
  <c r="E20" i="5"/>
  <c r="G20"/>
  <c r="F20"/>
  <c r="B21"/>
  <c r="F27" i="9"/>
  <c r="E27"/>
  <c r="H27"/>
  <c r="B28"/>
  <c r="D27"/>
  <c r="G27"/>
  <c r="I27"/>
  <c r="J27"/>
  <c r="E22" i="12"/>
  <c r="F22"/>
  <c r="H22"/>
  <c r="C23"/>
  <c r="E23"/>
  <c r="H23"/>
  <c r="C24"/>
  <c r="F23"/>
  <c r="C20" i="3"/>
  <c r="E25" i="1"/>
  <c r="D28" i="9"/>
  <c r="G28"/>
  <c r="I28"/>
  <c r="J28"/>
  <c r="F28"/>
  <c r="B29"/>
  <c r="E28"/>
  <c r="H28"/>
  <c r="D21" i="5"/>
  <c r="D26" i="7"/>
  <c r="E26"/>
  <c r="A27"/>
  <c r="B26"/>
  <c r="F25"/>
  <c r="G25"/>
  <c r="H25"/>
  <c r="C26"/>
  <c r="B21" i="3"/>
  <c r="A27" i="1"/>
  <c r="B26"/>
  <c r="C26"/>
  <c r="D26"/>
  <c r="G43" i="5"/>
  <c r="E43"/>
  <c r="A44"/>
  <c r="B43"/>
  <c r="C43"/>
  <c r="D43"/>
  <c r="F43"/>
  <c r="E49" i="9"/>
  <c r="G49"/>
  <c r="D49"/>
  <c r="C49"/>
  <c r="F49"/>
  <c r="B49"/>
  <c r="A50"/>
  <c r="J49"/>
  <c r="I49"/>
  <c r="H49"/>
  <c r="D34" i="4"/>
  <c r="B35"/>
  <c r="C21" i="3"/>
  <c r="E26" i="1"/>
  <c r="D35" i="4"/>
  <c r="B36"/>
  <c r="B22" i="3"/>
  <c r="A28" i="1"/>
  <c r="B27"/>
  <c r="C27"/>
  <c r="D27"/>
  <c r="B27" i="7"/>
  <c r="A28"/>
  <c r="D27"/>
  <c r="C27"/>
  <c r="E27"/>
  <c r="E21" i="5"/>
  <c r="G21"/>
  <c r="F21"/>
  <c r="B22"/>
  <c r="D29" i="9"/>
  <c r="G29"/>
  <c r="E29"/>
  <c r="H29"/>
  <c r="F29"/>
  <c r="B30"/>
  <c r="E24" i="12"/>
  <c r="F24"/>
  <c r="I50" i="9"/>
  <c r="H50"/>
  <c r="B50"/>
  <c r="A51"/>
  <c r="J50"/>
  <c r="D50"/>
  <c r="C50"/>
  <c r="F50"/>
  <c r="E50"/>
  <c r="G50"/>
  <c r="B44" i="5"/>
  <c r="F44"/>
  <c r="D44"/>
  <c r="G44"/>
  <c r="E44"/>
  <c r="A45"/>
  <c r="C44"/>
  <c r="F26" i="7"/>
  <c r="G26"/>
  <c r="H26"/>
  <c r="C22" i="3"/>
  <c r="E27" i="1"/>
  <c r="H24" i="12"/>
  <c r="C25"/>
  <c r="D30" i="9"/>
  <c r="G30"/>
  <c r="I30"/>
  <c r="J30"/>
  <c r="E30"/>
  <c r="H30"/>
  <c r="F30"/>
  <c r="B28" i="7"/>
  <c r="F27"/>
  <c r="G27"/>
  <c r="H27"/>
  <c r="D28"/>
  <c r="C28"/>
  <c r="A29"/>
  <c r="E28"/>
  <c r="B23" i="3"/>
  <c r="A29" i="1"/>
  <c r="B28"/>
  <c r="C28"/>
  <c r="D28"/>
  <c r="B37" i="4"/>
  <c r="D36"/>
  <c r="C36"/>
  <c r="A46" i="5"/>
  <c r="B45"/>
  <c r="C45"/>
  <c r="D45"/>
  <c r="F45"/>
  <c r="G45"/>
  <c r="E45"/>
  <c r="E51" i="9"/>
  <c r="G51"/>
  <c r="D51"/>
  <c r="C51"/>
  <c r="F51"/>
  <c r="B51"/>
  <c r="A52"/>
  <c r="J51"/>
  <c r="I51"/>
  <c r="H51"/>
  <c r="I29"/>
  <c r="J29"/>
  <c r="D22" i="5"/>
  <c r="C23" i="3"/>
  <c r="E28" i="1"/>
  <c r="E22" i="5"/>
  <c r="F22"/>
  <c r="B23"/>
  <c r="E52" i="9"/>
  <c r="G52"/>
  <c r="D52"/>
  <c r="C52"/>
  <c r="F52"/>
  <c r="B52"/>
  <c r="A53"/>
  <c r="J52"/>
  <c r="I52"/>
  <c r="H52"/>
  <c r="A30" i="1"/>
  <c r="B24" i="3"/>
  <c r="C29" i="1"/>
  <c r="B29"/>
  <c r="D29"/>
  <c r="C24" i="3"/>
  <c r="B31" i="9"/>
  <c r="D46" i="5"/>
  <c r="G46"/>
  <c r="E46"/>
  <c r="A47"/>
  <c r="C46"/>
  <c r="B46"/>
  <c r="F46"/>
  <c r="B38" i="4"/>
  <c r="C37"/>
  <c r="D37"/>
  <c r="B29" i="7"/>
  <c r="F28"/>
  <c r="G28"/>
  <c r="H28"/>
  <c r="A30"/>
  <c r="D29"/>
  <c r="C29"/>
  <c r="E29"/>
  <c r="E25" i="12"/>
  <c r="F25"/>
  <c r="H25"/>
  <c r="C26"/>
  <c r="E29" i="1"/>
  <c r="G22" i="5"/>
  <c r="A31" i="7"/>
  <c r="C30"/>
  <c r="E30"/>
  <c r="B30"/>
  <c r="F29"/>
  <c r="G29"/>
  <c r="H29"/>
  <c r="D30"/>
  <c r="B39" i="4"/>
  <c r="D38"/>
  <c r="C38"/>
  <c r="G47" i="5"/>
  <c r="E47"/>
  <c r="A48"/>
  <c r="B47"/>
  <c r="C47"/>
  <c r="D47"/>
  <c r="F47"/>
  <c r="E31" i="9"/>
  <c r="H31"/>
  <c r="F31"/>
  <c r="D31"/>
  <c r="G31"/>
  <c r="I31"/>
  <c r="J31"/>
  <c r="A31" i="1"/>
  <c r="B25" i="3"/>
  <c r="B30" i="1"/>
  <c r="C30"/>
  <c r="D30"/>
  <c r="B53" i="9"/>
  <c r="A54"/>
  <c r="J53"/>
  <c r="I53"/>
  <c r="H53"/>
  <c r="E53"/>
  <c r="G53"/>
  <c r="D53"/>
  <c r="C53"/>
  <c r="F53"/>
  <c r="D23" i="5"/>
  <c r="C25" i="3"/>
  <c r="E30" i="1"/>
  <c r="B26" i="3"/>
  <c r="A32" i="1"/>
  <c r="B31"/>
  <c r="C31"/>
  <c r="D31"/>
  <c r="C39" i="4"/>
  <c r="D39"/>
  <c r="B40"/>
  <c r="E26" i="12"/>
  <c r="F26"/>
  <c r="H26"/>
  <c r="C27"/>
  <c r="E23" i="5"/>
  <c r="F23"/>
  <c r="B24"/>
  <c r="G23"/>
  <c r="B54" i="9"/>
  <c r="A55"/>
  <c r="J54"/>
  <c r="I54"/>
  <c r="H54"/>
  <c r="E54"/>
  <c r="G54"/>
  <c r="D54"/>
  <c r="C54"/>
  <c r="F54"/>
  <c r="B32"/>
  <c r="A49" i="5"/>
  <c r="C48"/>
  <c r="B48"/>
  <c r="F48"/>
  <c r="D48"/>
  <c r="G48"/>
  <c r="E48"/>
  <c r="D31" i="7"/>
  <c r="C31"/>
  <c r="E31"/>
  <c r="B31"/>
  <c r="F30"/>
  <c r="G30"/>
  <c r="H30"/>
  <c r="A32"/>
  <c r="E27" i="12"/>
  <c r="F27"/>
  <c r="C26" i="3"/>
  <c r="E31" i="1"/>
  <c r="C32" i="7"/>
  <c r="E32"/>
  <c r="D32"/>
  <c r="B32"/>
  <c r="A33"/>
  <c r="I55" i="9"/>
  <c r="H55"/>
  <c r="B55"/>
  <c r="A56"/>
  <c r="J55"/>
  <c r="D55"/>
  <c r="C55"/>
  <c r="F55"/>
  <c r="E55"/>
  <c r="G55"/>
  <c r="F31" i="7"/>
  <c r="G31"/>
  <c r="H31"/>
  <c r="E32" i="9"/>
  <c r="H32"/>
  <c r="F32"/>
  <c r="D32"/>
  <c r="G32"/>
  <c r="I32"/>
  <c r="J32"/>
  <c r="B33"/>
  <c r="D24" i="5"/>
  <c r="B41" i="4"/>
  <c r="D40"/>
  <c r="C40"/>
  <c r="B27" i="3"/>
  <c r="A33" i="1"/>
  <c r="B32"/>
  <c r="C32"/>
  <c r="D32"/>
  <c r="B49" i="5"/>
  <c r="C49"/>
  <c r="D49"/>
  <c r="F49"/>
  <c r="G49"/>
  <c r="E49"/>
  <c r="A50"/>
  <c r="C27" i="3"/>
  <c r="E32" i="1"/>
  <c r="B28" i="3"/>
  <c r="A34" i="1"/>
  <c r="B33"/>
  <c r="C33"/>
  <c r="D33"/>
  <c r="D41" i="4"/>
  <c r="B42"/>
  <c r="C41"/>
  <c r="E24" i="5"/>
  <c r="G24"/>
  <c r="F24"/>
  <c r="B25"/>
  <c r="B56" i="9"/>
  <c r="A57"/>
  <c r="J56"/>
  <c r="I56"/>
  <c r="H56"/>
  <c r="E56"/>
  <c r="G56"/>
  <c r="D56"/>
  <c r="C56"/>
  <c r="F56"/>
  <c r="D33" i="7"/>
  <c r="C33"/>
  <c r="B33"/>
  <c r="F32"/>
  <c r="G32"/>
  <c r="H32"/>
  <c r="A34"/>
  <c r="E33"/>
  <c r="H27" i="12"/>
  <c r="C28"/>
  <c r="D50" i="5"/>
  <c r="G50"/>
  <c r="E50"/>
  <c r="A51"/>
  <c r="C50"/>
  <c r="B50"/>
  <c r="F50"/>
  <c r="E33" i="9"/>
  <c r="H33"/>
  <c r="D33"/>
  <c r="G33"/>
  <c r="I33"/>
  <c r="J33"/>
  <c r="F33"/>
  <c r="B34"/>
  <c r="C28" i="3"/>
  <c r="E33" i="1"/>
  <c r="E34" i="9"/>
  <c r="F34"/>
  <c r="F35"/>
  <c r="D34"/>
  <c r="B35"/>
  <c r="C42" i="4"/>
  <c r="B43"/>
  <c r="D42"/>
  <c r="A35" i="1"/>
  <c r="B29" i="3"/>
  <c r="B34" i="1"/>
  <c r="C34"/>
  <c r="D34"/>
  <c r="C29" i="3"/>
  <c r="E34" i="1"/>
  <c r="A52" i="5"/>
  <c r="B51"/>
  <c r="C51"/>
  <c r="D51"/>
  <c r="F51"/>
  <c r="G51"/>
  <c r="E51"/>
  <c r="E28" i="12"/>
  <c r="H28"/>
  <c r="C29"/>
  <c r="F28"/>
  <c r="B34" i="7"/>
  <c r="D34"/>
  <c r="C34"/>
  <c r="E34"/>
  <c r="A35"/>
  <c r="F33"/>
  <c r="G33"/>
  <c r="H33"/>
  <c r="D57" i="9"/>
  <c r="C57"/>
  <c r="F57"/>
  <c r="E57"/>
  <c r="G57"/>
  <c r="I57"/>
  <c r="H57"/>
  <c r="B57"/>
  <c r="A58"/>
  <c r="J57"/>
  <c r="D25" i="5"/>
  <c r="E29" i="12"/>
  <c r="F29"/>
  <c r="H29"/>
  <c r="C30"/>
  <c r="A53" i="5"/>
  <c r="C52"/>
  <c r="B52"/>
  <c r="F52"/>
  <c r="D52"/>
  <c r="G52"/>
  <c r="E52"/>
  <c r="A36" i="1"/>
  <c r="B35"/>
  <c r="D35"/>
  <c r="C30" i="3"/>
  <c r="E35" i="1"/>
  <c r="B30" i="3"/>
  <c r="C35" i="1"/>
  <c r="C43" i="4"/>
  <c r="D43"/>
  <c r="B44"/>
  <c r="G34" i="9"/>
  <c r="D35"/>
  <c r="H34"/>
  <c r="H35"/>
  <c r="E35"/>
  <c r="F25" i="5"/>
  <c r="B26"/>
  <c r="E25"/>
  <c r="G25"/>
  <c r="I58" i="9"/>
  <c r="H58"/>
  <c r="B58"/>
  <c r="A59"/>
  <c r="J58"/>
  <c r="D58"/>
  <c r="C58"/>
  <c r="F58"/>
  <c r="E58"/>
  <c r="G58"/>
  <c r="A36" i="7"/>
  <c r="B35"/>
  <c r="F34"/>
  <c r="G34"/>
  <c r="H34"/>
  <c r="D35"/>
  <c r="C35"/>
  <c r="E35"/>
  <c r="E30" i="12"/>
  <c r="F30"/>
  <c r="A37" i="7"/>
  <c r="C36"/>
  <c r="E36"/>
  <c r="B36"/>
  <c r="D36"/>
  <c r="I34" i="9"/>
  <c r="G35"/>
  <c r="B45" i="4"/>
  <c r="D44"/>
  <c r="C44"/>
  <c r="A37" i="1"/>
  <c r="C36"/>
  <c r="B36"/>
  <c r="D36"/>
  <c r="C31" i="3"/>
  <c r="B31"/>
  <c r="E36" i="1"/>
  <c r="B59" i="9"/>
  <c r="A60"/>
  <c r="J59"/>
  <c r="I59"/>
  <c r="H59"/>
  <c r="E59"/>
  <c r="G59"/>
  <c r="D59"/>
  <c r="C59"/>
  <c r="F59"/>
  <c r="D26" i="5"/>
  <c r="A54"/>
  <c r="B53"/>
  <c r="C53"/>
  <c r="D53"/>
  <c r="F53"/>
  <c r="G53"/>
  <c r="E53"/>
  <c r="I60" i="9"/>
  <c r="H60"/>
  <c r="B60"/>
  <c r="A61"/>
  <c r="J60"/>
  <c r="D60"/>
  <c r="C60"/>
  <c r="F60"/>
  <c r="E60"/>
  <c r="G60"/>
  <c r="C45" i="4"/>
  <c r="D45"/>
  <c r="B46"/>
  <c r="B37" i="7"/>
  <c r="F36"/>
  <c r="G36"/>
  <c r="H36"/>
  <c r="D37"/>
  <c r="C37"/>
  <c r="E37"/>
  <c r="A38"/>
  <c r="F35"/>
  <c r="G35"/>
  <c r="H35"/>
  <c r="H30" i="12"/>
  <c r="C31"/>
  <c r="B54" i="5"/>
  <c r="C54"/>
  <c r="D54"/>
  <c r="F54"/>
  <c r="E54"/>
  <c r="G54"/>
  <c r="F26"/>
  <c r="B27"/>
  <c r="E26"/>
  <c r="G26"/>
  <c r="B32" i="3"/>
  <c r="C37" i="1"/>
  <c r="E37"/>
  <c r="A38"/>
  <c r="B37"/>
  <c r="D37"/>
  <c r="C32" i="3"/>
  <c r="J34" i="9"/>
  <c r="J35"/>
  <c r="I35"/>
  <c r="A39" i="1"/>
  <c r="C38"/>
  <c r="B33" i="3"/>
  <c r="B38" i="1"/>
  <c r="D38"/>
  <c r="C33" i="3"/>
  <c r="E38" i="1"/>
  <c r="D27" i="5"/>
  <c r="E31" i="12"/>
  <c r="F31"/>
  <c r="H31"/>
  <c r="C32"/>
  <c r="C46" i="4"/>
  <c r="B47"/>
  <c r="D46"/>
  <c r="B38" i="7"/>
  <c r="F37"/>
  <c r="G37"/>
  <c r="H37"/>
  <c r="A39"/>
  <c r="C38"/>
  <c r="D38"/>
  <c r="E38"/>
  <c r="I61" i="9"/>
  <c r="H61"/>
  <c r="B61"/>
  <c r="A62"/>
  <c r="J61"/>
  <c r="D61"/>
  <c r="C61"/>
  <c r="F61"/>
  <c r="E61"/>
  <c r="G61"/>
  <c r="F32" i="12"/>
  <c r="E32"/>
  <c r="H32"/>
  <c r="C33"/>
  <c r="I62" i="9"/>
  <c r="H62"/>
  <c r="B62"/>
  <c r="A63"/>
  <c r="J62"/>
  <c r="D62"/>
  <c r="C62"/>
  <c r="F62"/>
  <c r="E62"/>
  <c r="G62"/>
  <c r="B39" i="7"/>
  <c r="F38"/>
  <c r="G38"/>
  <c r="H38"/>
  <c r="D39"/>
  <c r="C39"/>
  <c r="E39"/>
  <c r="A40"/>
  <c r="C47" i="4"/>
  <c r="D47"/>
  <c r="B48"/>
  <c r="E27" i="5"/>
  <c r="G27"/>
  <c r="F27"/>
  <c r="B28"/>
  <c r="A40" i="1"/>
  <c r="B39"/>
  <c r="D39"/>
  <c r="C34" i="3"/>
  <c r="B34"/>
  <c r="C39" i="1"/>
  <c r="E39"/>
  <c r="E33" i="12"/>
  <c r="H33"/>
  <c r="C34"/>
  <c r="F33"/>
  <c r="A41" i="1"/>
  <c r="C40"/>
  <c r="B35" i="3"/>
  <c r="E40" i="1"/>
  <c r="B40"/>
  <c r="D40"/>
  <c r="C35" i="3"/>
  <c r="D48" i="4"/>
  <c r="C48"/>
  <c r="B49"/>
  <c r="D63" i="9"/>
  <c r="C63"/>
  <c r="F63"/>
  <c r="E63"/>
  <c r="G63"/>
  <c r="I63"/>
  <c r="H63"/>
  <c r="B63"/>
  <c r="A64"/>
  <c r="J63"/>
  <c r="D28" i="5"/>
  <c r="B40" i="7"/>
  <c r="F39"/>
  <c r="G39"/>
  <c r="C40"/>
  <c r="A41"/>
  <c r="D40"/>
  <c r="E40"/>
  <c r="H39"/>
  <c r="H40"/>
  <c r="G40"/>
  <c r="B41"/>
  <c r="A42"/>
  <c r="D41"/>
  <c r="C41"/>
  <c r="F41"/>
  <c r="G41"/>
  <c r="H41"/>
  <c r="E41"/>
  <c r="E28" i="5"/>
  <c r="E29"/>
  <c r="F28"/>
  <c r="D29"/>
  <c r="B64" i="9"/>
  <c r="A65"/>
  <c r="J64"/>
  <c r="I64"/>
  <c r="H64"/>
  <c r="E64"/>
  <c r="G64"/>
  <c r="D64"/>
  <c r="C64"/>
  <c r="F64"/>
  <c r="F40" i="7"/>
  <c r="C49" i="4"/>
  <c r="D49"/>
  <c r="B50"/>
  <c r="B36" i="3"/>
  <c r="C41" i="1"/>
  <c r="E41"/>
  <c r="A42"/>
  <c r="B41"/>
  <c r="D41"/>
  <c r="C36" i="3"/>
  <c r="E34" i="12"/>
  <c r="F34"/>
  <c r="H34"/>
  <c r="C35"/>
  <c r="E35"/>
  <c r="H35"/>
  <c r="C36"/>
  <c r="F35"/>
  <c r="A43" i="1"/>
  <c r="C42"/>
  <c r="E42"/>
  <c r="B42"/>
  <c r="D42"/>
  <c r="C37" i="3"/>
  <c r="B37"/>
  <c r="B51" i="4"/>
  <c r="D50"/>
  <c r="C50"/>
  <c r="I65" i="9"/>
  <c r="B65"/>
  <c r="C65"/>
  <c r="D65"/>
  <c r="E65"/>
  <c r="F65"/>
  <c r="H65"/>
  <c r="G65"/>
  <c r="J65"/>
  <c r="A66"/>
  <c r="B42" i="7"/>
  <c r="E42"/>
  <c r="H42"/>
  <c r="D42"/>
  <c r="C42"/>
  <c r="A43"/>
  <c r="F42"/>
  <c r="G42"/>
  <c r="F29" i="5"/>
  <c r="B29"/>
  <c r="G28"/>
  <c r="G29"/>
  <c r="E36" i="12"/>
  <c r="F36"/>
  <c r="H36"/>
  <c r="C37"/>
  <c r="B52" i="4"/>
  <c r="C51"/>
  <c r="D51"/>
  <c r="A44" i="1"/>
  <c r="B38" i="3"/>
  <c r="C43" i="1"/>
  <c r="B43"/>
  <c r="D43"/>
  <c r="C38" i="3"/>
  <c r="E43" i="1"/>
  <c r="D43" i="7"/>
  <c r="B43"/>
  <c r="E43"/>
  <c r="G43"/>
  <c r="F43"/>
  <c r="A44"/>
  <c r="C43"/>
  <c r="H43"/>
  <c r="F66" i="9"/>
  <c r="G66"/>
  <c r="H66"/>
  <c r="I66"/>
  <c r="J66"/>
  <c r="B66"/>
  <c r="C66"/>
  <c r="D66"/>
  <c r="E66"/>
  <c r="F37" i="12"/>
  <c r="E37"/>
  <c r="H37"/>
  <c r="C38"/>
  <c r="C44" i="7"/>
  <c r="F44"/>
  <c r="A45"/>
  <c r="G44"/>
  <c r="B44"/>
  <c r="E44"/>
  <c r="H44"/>
  <c r="D44"/>
  <c r="C52" i="4"/>
  <c r="B53"/>
  <c r="D52"/>
  <c r="D44" i="1"/>
  <c r="C39" i="3"/>
  <c r="A45" i="1"/>
  <c r="C44"/>
  <c r="E44"/>
  <c r="B44"/>
  <c r="B39" i="3"/>
  <c r="D53" i="4"/>
  <c r="B54"/>
  <c r="C53"/>
  <c r="F38" i="12"/>
  <c r="E38"/>
  <c r="H38"/>
  <c r="C39"/>
  <c r="C45" i="1"/>
  <c r="B40" i="3"/>
  <c r="D45" i="1"/>
  <c r="C40" i="3"/>
  <c r="A46" i="1"/>
  <c r="E45"/>
  <c r="B45"/>
  <c r="D45" i="7"/>
  <c r="B45"/>
  <c r="E45"/>
  <c r="H45"/>
  <c r="A46"/>
  <c r="G45"/>
  <c r="C45"/>
  <c r="F45"/>
  <c r="E39" i="12"/>
  <c r="H39"/>
  <c r="C40"/>
  <c r="F39"/>
  <c r="C46" i="7"/>
  <c r="F46"/>
  <c r="A47"/>
  <c r="G46"/>
  <c r="B46"/>
  <c r="E46"/>
  <c r="H46"/>
  <c r="D46"/>
  <c r="C46" i="1"/>
  <c r="B46"/>
  <c r="B41" i="3"/>
  <c r="D46" i="1"/>
  <c r="C41" i="3"/>
  <c r="A47" i="1"/>
  <c r="E46"/>
  <c r="B55" i="4"/>
  <c r="D54"/>
  <c r="C54"/>
  <c r="C55"/>
  <c r="D55"/>
  <c r="B56"/>
  <c r="A48" i="1"/>
  <c r="E47"/>
  <c r="B47"/>
  <c r="C47"/>
  <c r="D47"/>
  <c r="C42" i="3"/>
  <c r="B42"/>
  <c r="A48" i="7"/>
  <c r="G47"/>
  <c r="C47"/>
  <c r="F47"/>
  <c r="D47"/>
  <c r="B47"/>
  <c r="E47"/>
  <c r="H47"/>
  <c r="F40" i="12"/>
  <c r="E40"/>
  <c r="H40"/>
  <c r="C41"/>
  <c r="C48" i="7"/>
  <c r="F48"/>
  <c r="A49"/>
  <c r="G48"/>
  <c r="B48"/>
  <c r="E48"/>
  <c r="H48"/>
  <c r="D48"/>
  <c r="C48" i="1"/>
  <c r="B48"/>
  <c r="B43" i="3"/>
  <c r="D48" i="1"/>
  <c r="C43" i="3"/>
  <c r="A49" i="1"/>
  <c r="E48"/>
  <c r="C56" i="4"/>
  <c r="B57"/>
  <c r="D56"/>
  <c r="E41" i="12"/>
  <c r="H41"/>
  <c r="F41"/>
  <c r="F43"/>
  <c r="H9"/>
  <c r="C57" i="4"/>
  <c r="D57"/>
  <c r="B58"/>
  <c r="C49" i="1"/>
  <c r="B44" i="3"/>
  <c r="D49" i="1"/>
  <c r="C44" i="3"/>
  <c r="A50" i="1"/>
  <c r="E49"/>
  <c r="B49"/>
  <c r="D49" i="7"/>
  <c r="B49"/>
  <c r="E49"/>
  <c r="H49"/>
  <c r="A50"/>
  <c r="G49"/>
  <c r="C49"/>
  <c r="F49"/>
  <c r="B50"/>
  <c r="E50"/>
  <c r="H50"/>
  <c r="D50"/>
  <c r="C50"/>
  <c r="F50"/>
  <c r="A51"/>
  <c r="G50"/>
  <c r="C50" i="1"/>
  <c r="B50"/>
  <c r="B45" i="3"/>
  <c r="D50" i="1"/>
  <c r="C45" i="3"/>
  <c r="A51" i="1"/>
  <c r="E50"/>
  <c r="B59" i="4"/>
  <c r="D58"/>
  <c r="C58"/>
  <c r="C59"/>
  <c r="D59"/>
  <c r="B60"/>
  <c r="C51" i="1"/>
  <c r="B46" i="3"/>
  <c r="D51" i="1"/>
  <c r="C46" i="3"/>
  <c r="A52" i="1"/>
  <c r="E51"/>
  <c r="B51"/>
  <c r="D51" i="7"/>
  <c r="B51"/>
  <c r="E51"/>
  <c r="H51"/>
  <c r="A52"/>
  <c r="G51"/>
  <c r="C51"/>
  <c r="F51"/>
  <c r="B52"/>
  <c r="E52"/>
  <c r="H52"/>
  <c r="D52"/>
  <c r="C52"/>
  <c r="F52"/>
  <c r="A53"/>
  <c r="G52"/>
  <c r="C52" i="1"/>
  <c r="B52"/>
  <c r="B47" i="3"/>
  <c r="D52" i="1"/>
  <c r="C47" i="3"/>
  <c r="A53" i="1"/>
  <c r="E52"/>
  <c r="D60" i="4"/>
  <c r="C60"/>
  <c r="B61"/>
  <c r="C61"/>
  <c r="D61"/>
  <c r="C53" i="1"/>
  <c r="B48" i="3"/>
  <c r="D53" i="1"/>
  <c r="C48" i="3"/>
  <c r="A54" i="1"/>
  <c r="E53"/>
  <c r="B53"/>
  <c r="A54" i="7"/>
  <c r="G53"/>
  <c r="C53"/>
  <c r="F53"/>
  <c r="D53"/>
  <c r="B53"/>
  <c r="E53"/>
  <c r="H53"/>
  <c r="C54" i="1"/>
  <c r="B54"/>
  <c r="B49" i="3"/>
  <c r="D54" i="1"/>
  <c r="C49" i="3"/>
  <c r="A55" i="1"/>
  <c r="E54"/>
  <c r="B54" i="7"/>
  <c r="E54"/>
  <c r="H54"/>
  <c r="D54"/>
  <c r="C54"/>
  <c r="F54"/>
  <c r="A55"/>
  <c r="G54"/>
  <c r="D55"/>
  <c r="B55"/>
  <c r="E55"/>
  <c r="H55"/>
  <c r="A56"/>
  <c r="G55"/>
  <c r="C55"/>
  <c r="F55"/>
  <c r="C55" i="1"/>
  <c r="B55"/>
  <c r="A56"/>
  <c r="D55"/>
  <c r="C50" i="3"/>
  <c r="B50"/>
  <c r="E55" i="1"/>
  <c r="C56"/>
  <c r="B56"/>
  <c r="B51" i="3"/>
  <c r="D56" i="1"/>
  <c r="C51" i="3"/>
  <c r="A57" i="1"/>
  <c r="E56"/>
  <c r="B56" i="7"/>
  <c r="E56"/>
  <c r="H56"/>
  <c r="D56"/>
  <c r="C56"/>
  <c r="F56"/>
  <c r="A57"/>
  <c r="G56"/>
  <c r="D57"/>
  <c r="B57"/>
  <c r="E57"/>
  <c r="H57"/>
  <c r="A58"/>
  <c r="G57"/>
  <c r="C57"/>
  <c r="F57"/>
  <c r="C57" i="1"/>
  <c r="B57"/>
  <c r="A58"/>
  <c r="D57"/>
  <c r="C52" i="3"/>
  <c r="B52"/>
  <c r="E57" i="1"/>
  <c r="C58"/>
  <c r="B58"/>
  <c r="B53" i="3"/>
  <c r="D58" i="1"/>
  <c r="C53" i="3"/>
  <c r="A59" i="1"/>
  <c r="E58"/>
  <c r="C58" i="7"/>
  <c r="F58"/>
  <c r="A59"/>
  <c r="G58"/>
  <c r="B58"/>
  <c r="E58"/>
  <c r="H58"/>
  <c r="D58"/>
  <c r="D59"/>
  <c r="B59"/>
  <c r="E59"/>
  <c r="H59"/>
  <c r="A60"/>
  <c r="G59"/>
  <c r="C59"/>
  <c r="F59"/>
  <c r="C59" i="1"/>
  <c r="B59"/>
  <c r="A60"/>
  <c r="D59"/>
  <c r="C54" i="3"/>
  <c r="B54"/>
  <c r="E59" i="1"/>
  <c r="C60"/>
  <c r="B60"/>
  <c r="B55" i="3"/>
  <c r="D60" i="1"/>
  <c r="C55" i="3"/>
  <c r="A61" i="1"/>
  <c r="E60"/>
  <c r="B60" i="7"/>
  <c r="F60"/>
  <c r="G60"/>
  <c r="C60"/>
  <c r="H60"/>
  <c r="D60"/>
  <c r="E60"/>
  <c r="C61" i="1"/>
  <c r="B61"/>
  <c r="A62"/>
  <c r="D61"/>
  <c r="C56" i="3"/>
  <c r="B56"/>
  <c r="E61" i="1"/>
  <c r="C62"/>
  <c r="B62"/>
  <c r="B57" i="3"/>
  <c r="D62" i="1"/>
  <c r="C57" i="3"/>
  <c r="A63" i="1"/>
  <c r="E62"/>
  <c r="C63"/>
  <c r="A64"/>
  <c r="D63"/>
  <c r="C58" i="3"/>
  <c r="B58"/>
  <c r="E63" i="1"/>
  <c r="B63"/>
  <c r="C64"/>
  <c r="D64"/>
  <c r="C59" i="3"/>
  <c r="B59"/>
  <c r="E64" i="1"/>
  <c r="B64"/>
  <c r="C11" i="6"/>
  <c r="E11"/>
  <c r="D13"/>
  <c r="C13"/>
  <c r="A14"/>
  <c r="E13"/>
  <c r="C12"/>
  <c r="E12"/>
  <c r="E10"/>
  <c r="D14"/>
  <c r="A15"/>
  <c r="C14"/>
  <c r="E14"/>
  <c r="B11"/>
  <c r="D15"/>
  <c r="A16"/>
  <c r="C15"/>
  <c r="E15"/>
  <c r="F10"/>
  <c r="B11" i="8"/>
  <c r="B12" i="6"/>
  <c r="F11"/>
  <c r="G11"/>
  <c r="H11"/>
  <c r="A17"/>
  <c r="D16"/>
  <c r="C16"/>
  <c r="E16"/>
  <c r="B12" i="8"/>
  <c r="B13" i="6"/>
  <c r="G10"/>
  <c r="A18"/>
  <c r="D17"/>
  <c r="C17"/>
  <c r="E17"/>
  <c r="B13" i="8"/>
  <c r="B14" i="6"/>
  <c r="F13"/>
  <c r="G13"/>
  <c r="H13"/>
  <c r="H10"/>
  <c r="F12"/>
  <c r="A19"/>
  <c r="D18"/>
  <c r="C18"/>
  <c r="E18"/>
  <c r="G12"/>
  <c r="H12"/>
  <c r="D10" i="8"/>
  <c r="B14"/>
  <c r="F14" i="6"/>
  <c r="G14"/>
  <c r="H14"/>
  <c r="B15"/>
  <c r="C19"/>
  <c r="D19"/>
  <c r="E19"/>
  <c r="A20"/>
  <c r="B15" i="8"/>
  <c r="B16" i="6"/>
  <c r="F15"/>
  <c r="G15"/>
  <c r="H15"/>
  <c r="D20"/>
  <c r="A21"/>
  <c r="C20"/>
  <c r="E20"/>
  <c r="B16" i="8"/>
  <c r="B17" i="6"/>
  <c r="B17" i="8"/>
  <c r="B18" i="6"/>
  <c r="F16"/>
  <c r="G16"/>
  <c r="H16"/>
  <c r="A22"/>
  <c r="C21"/>
  <c r="D21"/>
  <c r="E21"/>
  <c r="A23"/>
  <c r="D22"/>
  <c r="C22"/>
  <c r="E22"/>
  <c r="B18" i="8"/>
  <c r="B19" i="6"/>
  <c r="F17"/>
  <c r="G17"/>
  <c r="H17"/>
  <c r="B19" i="8"/>
  <c r="B20" i="6"/>
  <c r="D23"/>
  <c r="C23"/>
  <c r="E23"/>
  <c r="A24"/>
  <c r="F18"/>
  <c r="G18"/>
  <c r="H18"/>
  <c r="D24"/>
  <c r="C24"/>
  <c r="A25"/>
  <c r="E24"/>
  <c r="B20" i="8"/>
  <c r="B21" i="6"/>
  <c r="F19"/>
  <c r="G19"/>
  <c r="H19"/>
  <c r="B21" i="8"/>
  <c r="B22" i="6"/>
  <c r="F20"/>
  <c r="G20"/>
  <c r="H20"/>
  <c r="A26"/>
  <c r="C25"/>
  <c r="E25"/>
  <c r="D25"/>
  <c r="D26"/>
  <c r="C26"/>
  <c r="A27"/>
  <c r="E26"/>
  <c r="B22" i="8"/>
  <c r="B23" i="6"/>
  <c r="F21"/>
  <c r="G21"/>
  <c r="H21"/>
  <c r="B23" i="8"/>
  <c r="B24" i="6"/>
  <c r="F23"/>
  <c r="G23"/>
  <c r="H23"/>
  <c r="D27"/>
  <c r="A28"/>
  <c r="C27"/>
  <c r="E27"/>
  <c r="F22"/>
  <c r="G22"/>
  <c r="H22"/>
  <c r="A29"/>
  <c r="C28"/>
  <c r="D28"/>
  <c r="E28"/>
  <c r="B24" i="8"/>
  <c r="B25" i="6"/>
  <c r="B25" i="8"/>
  <c r="B26" i="6"/>
  <c r="D29"/>
  <c r="A30"/>
  <c r="C29"/>
  <c r="E29"/>
  <c r="F24"/>
  <c r="G24"/>
  <c r="H24"/>
  <c r="B26" i="8"/>
  <c r="B27" i="6"/>
  <c r="D30"/>
  <c r="C30"/>
  <c r="A31"/>
  <c r="E30"/>
  <c r="F25"/>
  <c r="G25"/>
  <c r="H25"/>
  <c r="B27" i="8"/>
  <c r="B28" i="6"/>
  <c r="D31"/>
  <c r="A32"/>
  <c r="C31"/>
  <c r="E31"/>
  <c r="F26"/>
  <c r="G26"/>
  <c r="H26"/>
  <c r="B28" i="8"/>
  <c r="B29" i="6"/>
  <c r="A33"/>
  <c r="C32"/>
  <c r="E32"/>
  <c r="D32"/>
  <c r="F27"/>
  <c r="G27"/>
  <c r="H27"/>
  <c r="B29" i="8"/>
  <c r="B30" i="6"/>
  <c r="A34"/>
  <c r="C33"/>
  <c r="D33"/>
  <c r="E33"/>
  <c r="F28"/>
  <c r="G28"/>
  <c r="H28"/>
  <c r="B30" i="8"/>
  <c r="B31" i="6"/>
  <c r="F30"/>
  <c r="G30"/>
  <c r="H30"/>
  <c r="C34"/>
  <c r="D34"/>
  <c r="A35"/>
  <c r="E34"/>
  <c r="F29"/>
  <c r="G29"/>
  <c r="H29"/>
  <c r="A36"/>
  <c r="D35"/>
  <c r="C35"/>
  <c r="E35"/>
  <c r="B31" i="8"/>
  <c r="B32" i="6"/>
  <c r="F31"/>
  <c r="G31"/>
  <c r="H31"/>
  <c r="B32" i="8"/>
  <c r="B33" i="6"/>
  <c r="A37"/>
  <c r="C36"/>
  <c r="E36"/>
  <c r="D36"/>
  <c r="B33" i="8"/>
  <c r="B34" i="6"/>
  <c r="A38"/>
  <c r="C37"/>
  <c r="E37"/>
  <c r="D37"/>
  <c r="F32"/>
  <c r="G32"/>
  <c r="H32"/>
  <c r="B34" i="8"/>
  <c r="B35" i="6"/>
  <c r="D38"/>
  <c r="A39"/>
  <c r="C38"/>
  <c r="E38"/>
  <c r="F33"/>
  <c r="G33"/>
  <c r="H33"/>
  <c r="B35" i="8"/>
  <c r="B36" i="6"/>
  <c r="D39"/>
  <c r="C39"/>
  <c r="A40"/>
  <c r="E39"/>
  <c r="F34"/>
  <c r="G34"/>
  <c r="H34"/>
  <c r="B36" i="8"/>
  <c r="B37" i="6"/>
  <c r="D40"/>
  <c r="C40"/>
  <c r="A41"/>
  <c r="E40"/>
  <c r="F35"/>
  <c r="G35"/>
  <c r="H35"/>
  <c r="F41"/>
  <c r="H41"/>
  <c r="C41"/>
  <c r="D41"/>
  <c r="G41"/>
  <c r="A42"/>
  <c r="B41"/>
  <c r="B41" i="8"/>
  <c r="E41" i="6"/>
  <c r="B37" i="8"/>
  <c r="B38" i="6"/>
  <c r="F37"/>
  <c r="G37"/>
  <c r="H37"/>
  <c r="F36"/>
  <c r="G36"/>
  <c r="H36"/>
  <c r="B38" i="8"/>
  <c r="B39" i="6"/>
  <c r="F38"/>
  <c r="E42"/>
  <c r="F42"/>
  <c r="B42"/>
  <c r="B42" i="8"/>
  <c r="A43" i="6"/>
  <c r="D42"/>
  <c r="G42"/>
  <c r="H42"/>
  <c r="C42"/>
  <c r="G38"/>
  <c r="H43"/>
  <c r="F43"/>
  <c r="E43"/>
  <c r="G43"/>
  <c r="D43"/>
  <c r="A44"/>
  <c r="B43"/>
  <c r="B43" i="8"/>
  <c r="C43" i="6"/>
  <c r="B39" i="8"/>
  <c r="B40" i="6"/>
  <c r="B40" i="8"/>
  <c r="F39" i="6"/>
  <c r="A45"/>
  <c r="B44"/>
  <c r="B44" i="8"/>
  <c r="F44" i="6"/>
  <c r="H44"/>
  <c r="C44"/>
  <c r="E44"/>
  <c r="G44"/>
  <c r="D44"/>
  <c r="H38"/>
  <c r="G39"/>
  <c r="F40"/>
  <c r="G45"/>
  <c r="E45"/>
  <c r="C45"/>
  <c r="A46"/>
  <c r="D45"/>
  <c r="F45"/>
  <c r="B45"/>
  <c r="B45" i="8"/>
  <c r="H45" i="6"/>
  <c r="G46"/>
  <c r="C46"/>
  <c r="F46"/>
  <c r="H46"/>
  <c r="B46"/>
  <c r="B46" i="8"/>
  <c r="A47" i="6"/>
  <c r="D46"/>
  <c r="E46"/>
  <c r="H39"/>
  <c r="G40"/>
  <c r="G47"/>
  <c r="E47"/>
  <c r="C47"/>
  <c r="H47"/>
  <c r="D47"/>
  <c r="F47"/>
  <c r="B47"/>
  <c r="B47" i="8"/>
  <c r="A48" i="6"/>
  <c r="H40"/>
  <c r="E48"/>
  <c r="A49"/>
  <c r="B48"/>
  <c r="B48" i="8"/>
  <c r="C48" i="6"/>
  <c r="F48"/>
  <c r="H48"/>
  <c r="D48"/>
  <c r="G48"/>
  <c r="A50"/>
  <c r="B49"/>
  <c r="B49" i="8"/>
  <c r="E49" i="6"/>
  <c r="D49"/>
  <c r="H49"/>
  <c r="F49"/>
  <c r="C49"/>
  <c r="G49"/>
  <c r="C50"/>
  <c r="G50"/>
  <c r="A51"/>
  <c r="B50"/>
  <c r="B50" i="8"/>
  <c r="F50" i="6"/>
  <c r="E50"/>
  <c r="D50"/>
  <c r="H50"/>
  <c r="G51"/>
  <c r="C51"/>
  <c r="E51"/>
  <c r="D51"/>
  <c r="F51"/>
  <c r="H51"/>
  <c r="A52"/>
  <c r="B51"/>
  <c r="B51" i="8"/>
  <c r="B52" i="6"/>
  <c r="B52" i="8"/>
  <c r="A53" i="6"/>
  <c r="D52"/>
  <c r="G52"/>
  <c r="E52"/>
  <c r="H52"/>
  <c r="C52"/>
  <c r="F52"/>
  <c r="G53"/>
  <c r="E53"/>
  <c r="C53"/>
  <c r="H53"/>
  <c r="F53"/>
  <c r="A54"/>
  <c r="D53"/>
  <c r="B53"/>
  <c r="B53" i="8"/>
  <c r="B54" i="6"/>
  <c r="B54" i="8"/>
  <c r="D54" i="6"/>
  <c r="F54"/>
  <c r="H54"/>
  <c r="C54"/>
  <c r="E54"/>
  <c r="G54"/>
  <c r="A55"/>
  <c r="H55"/>
  <c r="F55"/>
  <c r="E55"/>
  <c r="C55"/>
  <c r="G55"/>
  <c r="D55"/>
  <c r="A56"/>
  <c r="B55"/>
  <c r="B55" i="8"/>
  <c r="C56" i="6"/>
  <c r="E56"/>
  <c r="F56"/>
  <c r="H56"/>
  <c r="A57"/>
  <c r="B56"/>
  <c r="B56" i="8"/>
  <c r="D56" i="6"/>
  <c r="G56"/>
  <c r="A58"/>
  <c r="B57"/>
  <c r="B57" i="8"/>
  <c r="G57" i="6"/>
  <c r="D57"/>
  <c r="E57"/>
  <c r="C57"/>
  <c r="H57"/>
  <c r="F57"/>
  <c r="E58"/>
  <c r="G58"/>
  <c r="A59"/>
  <c r="B58"/>
  <c r="B58" i="8"/>
  <c r="H58" i="6"/>
  <c r="F58"/>
  <c r="D58"/>
  <c r="C58"/>
  <c r="A60"/>
  <c r="B59"/>
  <c r="B59" i="8"/>
  <c r="G59" i="6"/>
  <c r="C59"/>
  <c r="E59"/>
  <c r="F59"/>
  <c r="H59"/>
  <c r="D59"/>
  <c r="G60"/>
  <c r="F60"/>
  <c r="D60"/>
  <c r="C60"/>
  <c r="H60"/>
  <c r="E60"/>
  <c r="B60"/>
  <c r="B60" i="8"/>
  <c r="E10" i="3" l="1"/>
  <c r="F10"/>
  <c r="B16" i="2"/>
  <c r="C16" s="1"/>
  <c r="D16" s="1"/>
  <c r="A16" i="10"/>
  <c r="C15"/>
  <c r="E15" s="1"/>
  <c r="H15" s="1"/>
  <c r="A11" i="8"/>
  <c r="E10"/>
  <c r="A17" i="2"/>
  <c r="F9" i="3"/>
  <c r="D11" l="1"/>
  <c r="E16" i="2"/>
  <c r="B17"/>
  <c r="C17"/>
  <c r="D17" s="1"/>
  <c r="A18"/>
  <c r="F10" i="8"/>
  <c r="G10" s="1"/>
  <c r="F15" i="10"/>
  <c r="D15"/>
  <c r="G15" s="1"/>
  <c r="I15" s="1"/>
  <c r="J15" s="1"/>
  <c r="A12" i="8"/>
  <c r="E11"/>
  <c r="C11"/>
  <c r="F11"/>
  <c r="D11"/>
  <c r="G11"/>
  <c r="C16" i="10"/>
  <c r="B16"/>
  <c r="F16" s="1"/>
  <c r="E16"/>
  <c r="A17"/>
  <c r="D16"/>
  <c r="G16" s="1"/>
  <c r="H16"/>
  <c r="I16" l="1"/>
  <c r="J16" s="1"/>
  <c r="D12" i="3"/>
  <c r="E17" i="2"/>
  <c r="B18"/>
  <c r="D18"/>
  <c r="D13" i="3" s="1"/>
  <c r="C18" i="2"/>
  <c r="A19"/>
  <c r="E11" i="3"/>
  <c r="F11"/>
  <c r="C17" i="10"/>
  <c r="B17"/>
  <c r="E17"/>
  <c r="D17"/>
  <c r="H17"/>
  <c r="G17"/>
  <c r="I17" s="1"/>
  <c r="J17" s="1"/>
  <c r="A18"/>
  <c r="E12" i="8"/>
  <c r="A13"/>
  <c r="C12"/>
  <c r="D12"/>
  <c r="F12" l="1"/>
  <c r="G12" s="1"/>
  <c r="F17" i="10"/>
  <c r="B19" i="2"/>
  <c r="A20"/>
  <c r="C19"/>
  <c r="D19" s="1"/>
  <c r="D14" i="3" s="1"/>
  <c r="E13"/>
  <c r="E12"/>
  <c r="F12"/>
  <c r="A14" i="8"/>
  <c r="E13"/>
  <c r="C13"/>
  <c r="D13"/>
  <c r="F13"/>
  <c r="G13" s="1"/>
  <c r="A19" i="10"/>
  <c r="C18"/>
  <c r="E18"/>
  <c r="H18" s="1"/>
  <c r="D18"/>
  <c r="G18" s="1"/>
  <c r="B18"/>
  <c r="F18" s="1"/>
  <c r="E18" i="2"/>
  <c r="F13" i="3" s="1"/>
  <c r="I18" i="10" l="1"/>
  <c r="J18" s="1"/>
  <c r="A20"/>
  <c r="D19"/>
  <c r="B19"/>
  <c r="C19"/>
  <c r="E19"/>
  <c r="H19" s="1"/>
  <c r="G19"/>
  <c r="A15" i="8"/>
  <c r="E14"/>
  <c r="D14"/>
  <c r="C14"/>
  <c r="F14"/>
  <c r="G14" s="1"/>
  <c r="B20" i="2"/>
  <c r="C20"/>
  <c r="D20" s="1"/>
  <c r="A21"/>
  <c r="E14" i="3"/>
  <c r="E19" i="2"/>
  <c r="F14" i="3" s="1"/>
  <c r="F19" i="10" l="1"/>
  <c r="I19"/>
  <c r="J19" s="1"/>
  <c r="D15" i="3"/>
  <c r="E20" i="2"/>
  <c r="B21"/>
  <c r="C21" s="1"/>
  <c r="D21" s="1"/>
  <c r="A22"/>
  <c r="A16" i="8"/>
  <c r="E15"/>
  <c r="C15"/>
  <c r="D15"/>
  <c r="A21" i="10"/>
  <c r="E20"/>
  <c r="H20" s="1"/>
  <c r="D20"/>
  <c r="B20"/>
  <c r="C20"/>
  <c r="G20"/>
  <c r="F20" l="1"/>
  <c r="F15" i="8"/>
  <c r="G15" s="1"/>
  <c r="I20" i="10"/>
  <c r="J20" s="1"/>
  <c r="D16" i="3"/>
  <c r="E21" i="2"/>
  <c r="B22"/>
  <c r="C22" s="1"/>
  <c r="D22" s="1"/>
  <c r="A23"/>
  <c r="E15" i="3"/>
  <c r="F15"/>
  <c r="C21" i="10"/>
  <c r="D21"/>
  <c r="E21"/>
  <c r="B21"/>
  <c r="H21"/>
  <c r="F21"/>
  <c r="A22"/>
  <c r="G21"/>
  <c r="I21" s="1"/>
  <c r="J21" s="1"/>
  <c r="E16" i="8"/>
  <c r="C16"/>
  <c r="A17"/>
  <c r="D16"/>
  <c r="F16" s="1"/>
  <c r="G16" s="1"/>
  <c r="D17" i="3" l="1"/>
  <c r="E22" i="2"/>
  <c r="A24"/>
  <c r="B23"/>
  <c r="C23" s="1"/>
  <c r="D23" s="1"/>
  <c r="D18" i="3" s="1"/>
  <c r="E16"/>
  <c r="F16"/>
  <c r="A18" i="8"/>
  <c r="C17"/>
  <c r="D17"/>
  <c r="E17"/>
  <c r="F17" s="1"/>
  <c r="G17" s="1"/>
  <c r="C22" i="10"/>
  <c r="E22"/>
  <c r="H22" s="1"/>
  <c r="D22"/>
  <c r="B22"/>
  <c r="F22" s="1"/>
  <c r="A23"/>
  <c r="G22"/>
  <c r="I22" l="1"/>
  <c r="J22" s="1"/>
  <c r="E18" i="3"/>
  <c r="A25" i="2"/>
  <c r="B24"/>
  <c r="C24"/>
  <c r="D24" s="1"/>
  <c r="E17" i="3"/>
  <c r="F17"/>
  <c r="A24" i="10"/>
  <c r="D23"/>
  <c r="G23" s="1"/>
  <c r="E23"/>
  <c r="H23"/>
  <c r="C23"/>
  <c r="B23"/>
  <c r="F23" s="1"/>
  <c r="C18" i="8"/>
  <c r="A19"/>
  <c r="E18"/>
  <c r="D18"/>
  <c r="E23" i="2"/>
  <c r="F18" i="3" s="1"/>
  <c r="I23" i="10" l="1"/>
  <c r="J23" s="1"/>
  <c r="F18" i="8"/>
  <c r="G18" s="1"/>
  <c r="D19" i="3"/>
  <c r="E24" i="2"/>
  <c r="A20" i="8"/>
  <c r="C19"/>
  <c r="D19"/>
  <c r="E19"/>
  <c r="B25" i="2"/>
  <c r="C25" s="1"/>
  <c r="D25" s="1"/>
  <c r="A26"/>
  <c r="C24" i="10"/>
  <c r="A25"/>
  <c r="E24"/>
  <c r="D24"/>
  <c r="G24" s="1"/>
  <c r="H24"/>
  <c r="B24"/>
  <c r="F24" s="1"/>
  <c r="I24" l="1"/>
  <c r="J24" s="1"/>
  <c r="F19" i="8"/>
  <c r="G19" s="1"/>
  <c r="D20" i="3"/>
  <c r="E25" i="2"/>
  <c r="C25" i="10"/>
  <c r="E25"/>
  <c r="B25"/>
  <c r="F25" s="1"/>
  <c r="A26"/>
  <c r="D25"/>
  <c r="G25" s="1"/>
  <c r="I25" s="1"/>
  <c r="J25" s="1"/>
  <c r="H25"/>
  <c r="B26" i="2"/>
  <c r="C26" s="1"/>
  <c r="D26" s="1"/>
  <c r="A27"/>
  <c r="A21" i="8"/>
  <c r="C20"/>
  <c r="E20"/>
  <c r="D20"/>
  <c r="E19" i="3"/>
  <c r="F19"/>
  <c r="F20" i="8" l="1"/>
  <c r="G20" s="1"/>
  <c r="D21" i="3"/>
  <c r="E26" i="2"/>
  <c r="A28"/>
  <c r="B27"/>
  <c r="C27" s="1"/>
  <c r="D27" s="1"/>
  <c r="A27" i="10"/>
  <c r="D26"/>
  <c r="G26" s="1"/>
  <c r="E26"/>
  <c r="H26" s="1"/>
  <c r="B26"/>
  <c r="C26"/>
  <c r="E20" i="3"/>
  <c r="F20"/>
  <c r="A22" i="8"/>
  <c r="C21"/>
  <c r="D21"/>
  <c r="E21"/>
  <c r="F21" l="1"/>
  <c r="G21" s="1"/>
  <c r="I26" i="10"/>
  <c r="J26" s="1"/>
  <c r="F26"/>
  <c r="D22" i="3"/>
  <c r="E27" i="2"/>
  <c r="A29"/>
  <c r="B28"/>
  <c r="C28"/>
  <c r="D28" s="1"/>
  <c r="D23" i="3" s="1"/>
  <c r="E21"/>
  <c r="F21"/>
  <c r="E22" i="8"/>
  <c r="C22"/>
  <c r="A23"/>
  <c r="D22"/>
  <c r="F22" s="1"/>
  <c r="G22" s="1"/>
  <c r="A28" i="10"/>
  <c r="C27"/>
  <c r="D27"/>
  <c r="E27"/>
  <c r="H27" s="1"/>
  <c r="G27"/>
  <c r="B27"/>
  <c r="F27" s="1"/>
  <c r="I27" l="1"/>
  <c r="J27" s="1"/>
  <c r="E23" i="8"/>
  <c r="C23"/>
  <c r="A24"/>
  <c r="D23"/>
  <c r="E23" i="3"/>
  <c r="A30" i="2"/>
  <c r="B29"/>
  <c r="C29"/>
  <c r="D29" s="1"/>
  <c r="E22" i="3"/>
  <c r="F22"/>
  <c r="C28" i="10"/>
  <c r="E28"/>
  <c r="H28" s="1"/>
  <c r="D28"/>
  <c r="B28"/>
  <c r="F28" s="1"/>
  <c r="A29"/>
  <c r="G28"/>
  <c r="I28" s="1"/>
  <c r="J28" s="1"/>
  <c r="E28" i="2"/>
  <c r="F23" i="3" s="1"/>
  <c r="F23" i="8" l="1"/>
  <c r="G23" s="1"/>
  <c r="D24" i="3"/>
  <c r="E29" i="2"/>
  <c r="A31"/>
  <c r="B30"/>
  <c r="C30" s="1"/>
  <c r="D30" s="1"/>
  <c r="C24" i="8"/>
  <c r="E24"/>
  <c r="D42" s="1"/>
  <c r="A25"/>
  <c r="D24"/>
  <c r="F24" s="1"/>
  <c r="G24" s="1"/>
  <c r="A30" i="10"/>
  <c r="D29"/>
  <c r="G29" s="1"/>
  <c r="E29"/>
  <c r="H29"/>
  <c r="C29"/>
  <c r="B29"/>
  <c r="F29" s="1"/>
  <c r="I29" l="1"/>
  <c r="J29" s="1"/>
  <c r="D25" i="3"/>
  <c r="E30" i="2"/>
  <c r="B31"/>
  <c r="C31" s="1"/>
  <c r="D31" s="1"/>
  <c r="A32"/>
  <c r="E24" i="3"/>
  <c r="F24"/>
  <c r="C30" i="10"/>
  <c r="E30"/>
  <c r="H30" s="1"/>
  <c r="A31"/>
  <c r="D30"/>
  <c r="G30" s="1"/>
  <c r="I30" s="1"/>
  <c r="J30" s="1"/>
  <c r="B30"/>
  <c r="F30"/>
  <c r="E25" i="8"/>
  <c r="C25"/>
  <c r="D25"/>
  <c r="F25" s="1"/>
  <c r="G25" s="1"/>
  <c r="A26"/>
  <c r="D26" i="3" l="1"/>
  <c r="E31" i="2"/>
  <c r="A33"/>
  <c r="B32"/>
  <c r="C32" s="1"/>
  <c r="D32" s="1"/>
  <c r="E25" i="3"/>
  <c r="F25"/>
  <c r="E26" i="8"/>
  <c r="A27"/>
  <c r="C26"/>
  <c r="D26"/>
  <c r="F26" s="1"/>
  <c r="G26" s="1"/>
  <c r="C31" i="10"/>
  <c r="E31"/>
  <c r="D31"/>
  <c r="G31"/>
  <c r="B31"/>
  <c r="F31"/>
  <c r="A32"/>
  <c r="H31"/>
  <c r="I31" s="1"/>
  <c r="J31" s="1"/>
  <c r="D27" i="3" l="1"/>
  <c r="E32" i="2"/>
  <c r="A34"/>
  <c r="B33"/>
  <c r="D33"/>
  <c r="D28" i="3" s="1"/>
  <c r="C33" i="2"/>
  <c r="E33"/>
  <c r="E26" i="3"/>
  <c r="F26"/>
  <c r="E32" i="10"/>
  <c r="A33"/>
  <c r="H32"/>
  <c r="C32"/>
  <c r="D32"/>
  <c r="G32" s="1"/>
  <c r="I32" s="1"/>
  <c r="J32" s="1"/>
  <c r="B32"/>
  <c r="F32" s="1"/>
  <c r="A28" i="8"/>
  <c r="C27"/>
  <c r="D27"/>
  <c r="E27"/>
  <c r="F27" l="1"/>
  <c r="G27" s="1"/>
  <c r="C33" i="10"/>
  <c r="E33"/>
  <c r="H33" s="1"/>
  <c r="D33"/>
  <c r="G33" s="1"/>
  <c r="B33"/>
  <c r="A34"/>
  <c r="E28" i="3"/>
  <c r="F28"/>
  <c r="A35" i="2"/>
  <c r="B34"/>
  <c r="E34"/>
  <c r="C34"/>
  <c r="D34"/>
  <c r="D29" i="3" s="1"/>
  <c r="E27"/>
  <c r="F27"/>
  <c r="E28" i="8"/>
  <c r="C28"/>
  <c r="A29"/>
  <c r="D28"/>
  <c r="F28" s="1"/>
  <c r="G28" s="1"/>
  <c r="I33" i="10" l="1"/>
  <c r="J33" s="1"/>
  <c r="F33"/>
  <c r="E29" i="3"/>
  <c r="F29"/>
  <c r="B35" i="2"/>
  <c r="E35"/>
  <c r="D35"/>
  <c r="D30" i="3" s="1"/>
  <c r="A36" i="2"/>
  <c r="C35"/>
  <c r="A30" i="8"/>
  <c r="C29"/>
  <c r="E29"/>
  <c r="D29"/>
  <c r="E34" i="10"/>
  <c r="A35"/>
  <c r="D34"/>
  <c r="G34" s="1"/>
  <c r="B34"/>
  <c r="F34" s="1"/>
  <c r="C34"/>
  <c r="H34"/>
  <c r="I34" l="1"/>
  <c r="J34" s="1"/>
  <c r="F29" i="8"/>
  <c r="G29" s="1"/>
  <c r="A36" i="10"/>
  <c r="G35"/>
  <c r="C35"/>
  <c r="H35"/>
  <c r="I35"/>
  <c r="J35"/>
  <c r="B35"/>
  <c r="D35"/>
  <c r="F35"/>
  <c r="E35"/>
  <c r="F30" i="3"/>
  <c r="E30"/>
  <c r="C30" i="8"/>
  <c r="A31"/>
  <c r="D30"/>
  <c r="E30"/>
  <c r="F30" s="1"/>
  <c r="G30" s="1"/>
  <c r="C36" i="2"/>
  <c r="A37"/>
  <c r="E36"/>
  <c r="B36"/>
  <c r="D36"/>
  <c r="D31" i="3" s="1"/>
  <c r="E31" l="1"/>
  <c r="F31"/>
  <c r="C31" i="8"/>
  <c r="E31"/>
  <c r="A32"/>
  <c r="D31"/>
  <c r="F31" s="1"/>
  <c r="G31" s="1"/>
  <c r="D36" i="10"/>
  <c r="G36"/>
  <c r="F36"/>
  <c r="I36"/>
  <c r="J36"/>
  <c r="B36"/>
  <c r="H36"/>
  <c r="A37"/>
  <c r="E36"/>
  <c r="C36"/>
  <c r="D37" i="2"/>
  <c r="D32" i="3" s="1"/>
  <c r="E37" i="2"/>
  <c r="B37"/>
  <c r="A38"/>
  <c r="C37"/>
  <c r="F32" i="3" l="1"/>
  <c r="E32"/>
  <c r="A39" i="2"/>
  <c r="C38"/>
  <c r="D38"/>
  <c r="D33" i="3" s="1"/>
  <c r="E38" i="2"/>
  <c r="B38"/>
  <c r="H37" i="10"/>
  <c r="I37"/>
  <c r="A38"/>
  <c r="D37"/>
  <c r="B37"/>
  <c r="F37"/>
  <c r="C37"/>
  <c r="E37"/>
  <c r="G37"/>
  <c r="J37"/>
  <c r="A33" i="8"/>
  <c r="C32"/>
  <c r="E32"/>
  <c r="D32"/>
  <c r="F32" l="1"/>
  <c r="G32" s="1"/>
  <c r="E33" i="3"/>
  <c r="F33"/>
  <c r="B39" i="2"/>
  <c r="D39"/>
  <c r="D34" i="3" s="1"/>
  <c r="E39" i="2"/>
  <c r="C39"/>
  <c r="A40"/>
  <c r="E33" i="8"/>
  <c r="C33"/>
  <c r="D33"/>
  <c r="F33" s="1"/>
  <c r="G33" s="1"/>
  <c r="A34"/>
  <c r="G38" i="10"/>
  <c r="F38"/>
  <c r="B38"/>
  <c r="A39"/>
  <c r="I38"/>
  <c r="D38"/>
  <c r="H38"/>
  <c r="E38"/>
  <c r="C38"/>
  <c r="J38"/>
  <c r="A40" l="1"/>
  <c r="D39"/>
  <c r="B39"/>
  <c r="H39"/>
  <c r="I39"/>
  <c r="C39"/>
  <c r="E39"/>
  <c r="J39"/>
  <c r="G39"/>
  <c r="F39"/>
  <c r="A41" i="2"/>
  <c r="C40"/>
  <c r="D40"/>
  <c r="D35" i="3" s="1"/>
  <c r="B40" i="2"/>
  <c r="E40"/>
  <c r="E34" i="8"/>
  <c r="C34"/>
  <c r="A35"/>
  <c r="D34"/>
  <c r="F34" i="3"/>
  <c r="E34"/>
  <c r="F34" i="8" l="1"/>
  <c r="G34" s="1"/>
  <c r="E35" i="3"/>
  <c r="F35"/>
  <c r="D41" i="2"/>
  <c r="D36" i="3" s="1"/>
  <c r="E41" i="2"/>
  <c r="A42"/>
  <c r="B41"/>
  <c r="C41"/>
  <c r="H40" i="10"/>
  <c r="C40"/>
  <c r="A41"/>
  <c r="B40"/>
  <c r="E40"/>
  <c r="J40"/>
  <c r="G40"/>
  <c r="I40"/>
  <c r="F40"/>
  <c r="D40"/>
  <c r="A36" i="8"/>
  <c r="E35"/>
  <c r="D35"/>
  <c r="C35"/>
  <c r="F35" l="1"/>
  <c r="G35" s="1"/>
  <c r="D42" i="2"/>
  <c r="D37" i="3" s="1"/>
  <c r="A43" i="2"/>
  <c r="B42"/>
  <c r="C42"/>
  <c r="E42"/>
  <c r="E36" i="3"/>
  <c r="F36"/>
  <c r="A37" i="8"/>
  <c r="E36"/>
  <c r="C36"/>
  <c r="D36"/>
  <c r="F36" s="1"/>
  <c r="G36" s="1"/>
  <c r="H41" i="10"/>
  <c r="A42"/>
  <c r="I41"/>
  <c r="E41"/>
  <c r="F41"/>
  <c r="B41"/>
  <c r="G41"/>
  <c r="J41"/>
  <c r="D41"/>
  <c r="C41"/>
  <c r="J42" l="1"/>
  <c r="H42"/>
  <c r="C42"/>
  <c r="I42"/>
  <c r="D42"/>
  <c r="F42"/>
  <c r="G42"/>
  <c r="E42"/>
  <c r="B42"/>
  <c r="A43"/>
  <c r="F37" i="3"/>
  <c r="E37"/>
  <c r="A38" i="8"/>
  <c r="C37"/>
  <c r="E37"/>
  <c r="D37"/>
  <c r="A44" i="2"/>
  <c r="C43"/>
  <c r="E43"/>
  <c r="B43"/>
  <c r="D43"/>
  <c r="D38" i="3" s="1"/>
  <c r="F37" i="8" l="1"/>
  <c r="G37" s="1"/>
  <c r="F38" i="3"/>
  <c r="E38"/>
  <c r="E44" i="2"/>
  <c r="A45"/>
  <c r="B44"/>
  <c r="C44"/>
  <c r="D44"/>
  <c r="D39" i="3" s="1"/>
  <c r="E38" i="8"/>
  <c r="C38"/>
  <c r="A39"/>
  <c r="D38"/>
  <c r="F38" s="1"/>
  <c r="G38" s="1"/>
  <c r="J43" i="10"/>
  <c r="I43"/>
  <c r="A44"/>
  <c r="D43"/>
  <c r="B43"/>
  <c r="F43"/>
  <c r="H43"/>
  <c r="E43"/>
  <c r="C43"/>
  <c r="G43"/>
  <c r="F39" i="3" l="1"/>
  <c r="E39"/>
  <c r="E44" i="10"/>
  <c r="G44"/>
  <c r="I44"/>
  <c r="B44"/>
  <c r="J44"/>
  <c r="D44"/>
  <c r="H44"/>
  <c r="F44"/>
  <c r="A45"/>
  <c r="C44"/>
  <c r="E39" i="8"/>
  <c r="C39"/>
  <c r="D39"/>
  <c r="A40"/>
  <c r="C45" i="2"/>
  <c r="B45"/>
  <c r="E45"/>
  <c r="A46"/>
  <c r="D45"/>
  <c r="D40" i="3" s="1"/>
  <c r="F39" i="8" l="1"/>
  <c r="G39" s="1"/>
  <c r="E40" i="3"/>
  <c r="F40"/>
  <c r="C40" i="8"/>
  <c r="G40"/>
  <c r="E40"/>
  <c r="F40"/>
  <c r="A41"/>
  <c r="D40"/>
  <c r="D45" i="10"/>
  <c r="B45"/>
  <c r="G45"/>
  <c r="C45"/>
  <c r="J45"/>
  <c r="I45"/>
  <c r="F45"/>
  <c r="H45"/>
  <c r="E45"/>
  <c r="A46"/>
  <c r="C46" i="2"/>
  <c r="D46"/>
  <c r="D41" i="3" s="1"/>
  <c r="B46" i="2"/>
  <c r="A47"/>
  <c r="E46"/>
  <c r="A42" i="8" l="1"/>
  <c r="G41"/>
  <c r="D41"/>
  <c r="E41"/>
  <c r="F41"/>
  <c r="C41"/>
  <c r="E47" i="2"/>
  <c r="D47"/>
  <c r="D42" i="3" s="1"/>
  <c r="A48" i="2"/>
  <c r="C47"/>
  <c r="B47"/>
  <c r="F41" i="3"/>
  <c r="E41"/>
  <c r="J46" i="10"/>
  <c r="H46"/>
  <c r="C46"/>
  <c r="I46"/>
  <c r="D46"/>
  <c r="F46"/>
  <c r="G46"/>
  <c r="E46"/>
  <c r="B46"/>
  <c r="A47"/>
  <c r="C47" l="1"/>
  <c r="J47"/>
  <c r="D47"/>
  <c r="B47"/>
  <c r="H47"/>
  <c r="I47"/>
  <c r="F47"/>
  <c r="A48"/>
  <c r="E47"/>
  <c r="G47"/>
  <c r="A49" i="2"/>
  <c r="E48"/>
  <c r="D48"/>
  <c r="D43" i="3" s="1"/>
  <c r="C48" i="2"/>
  <c r="B48"/>
  <c r="F42" i="8"/>
  <c r="E42"/>
  <c r="A43"/>
  <c r="C42"/>
  <c r="G42"/>
  <c r="E42" i="3"/>
  <c r="F42"/>
  <c r="E43" l="1"/>
  <c r="F43"/>
  <c r="E49" i="2"/>
  <c r="D49"/>
  <c r="D44" i="3" s="1"/>
  <c r="A50" i="2"/>
  <c r="C49"/>
  <c r="B49"/>
  <c r="F43" i="8"/>
  <c r="D43"/>
  <c r="C43"/>
  <c r="G43"/>
  <c r="A44"/>
  <c r="E43"/>
  <c r="J48" i="10"/>
  <c r="H48"/>
  <c r="C48"/>
  <c r="A49"/>
  <c r="E48"/>
  <c r="F48"/>
  <c r="G48"/>
  <c r="D48"/>
  <c r="B48"/>
  <c r="I48"/>
  <c r="E49" l="1"/>
  <c r="F49"/>
  <c r="G49"/>
  <c r="J49"/>
  <c r="H49"/>
  <c r="C49"/>
  <c r="A50"/>
  <c r="B49"/>
  <c r="I49"/>
  <c r="D49"/>
  <c r="B50" i="2"/>
  <c r="D50"/>
  <c r="D45" i="3" s="1"/>
  <c r="C50" i="2"/>
  <c r="E50"/>
  <c r="A51"/>
  <c r="F44" i="8"/>
  <c r="E44"/>
  <c r="G44"/>
  <c r="A45"/>
  <c r="D44"/>
  <c r="C44"/>
  <c r="E44" i="3"/>
  <c r="F44"/>
  <c r="E45" i="8" l="1"/>
  <c r="C45"/>
  <c r="F45"/>
  <c r="D45"/>
  <c r="G45"/>
  <c r="A46"/>
  <c r="E51" i="2"/>
  <c r="D51"/>
  <c r="D46" i="3" s="1"/>
  <c r="A52" i="2"/>
  <c r="C51"/>
  <c r="B51"/>
  <c r="F50" i="10"/>
  <c r="B50"/>
  <c r="G50"/>
  <c r="A51"/>
  <c r="E50"/>
  <c r="J50"/>
  <c r="C50"/>
  <c r="D50"/>
  <c r="H50"/>
  <c r="I50"/>
  <c r="E45" i="3"/>
  <c r="F45"/>
  <c r="D51" i="10" l="1"/>
  <c r="B51"/>
  <c r="H51"/>
  <c r="C51"/>
  <c r="J51"/>
  <c r="A52"/>
  <c r="E51"/>
  <c r="G51"/>
  <c r="I51"/>
  <c r="F51"/>
  <c r="B52" i="2"/>
  <c r="C52"/>
  <c r="D52"/>
  <c r="D47" i="3" s="1"/>
  <c r="A53" i="2"/>
  <c r="E52"/>
  <c r="E46" i="3"/>
  <c r="F46"/>
  <c r="A47" i="8"/>
  <c r="C46"/>
  <c r="D46"/>
  <c r="E46"/>
  <c r="F46"/>
  <c r="G46"/>
  <c r="E47" i="3" l="1"/>
  <c r="F47"/>
  <c r="E47" i="8"/>
  <c r="C47"/>
  <c r="F47"/>
  <c r="D47"/>
  <c r="G47"/>
  <c r="A48"/>
  <c r="C53" i="2"/>
  <c r="B53"/>
  <c r="D53"/>
  <c r="D48" i="3" s="1"/>
  <c r="E53" i="2"/>
  <c r="A54"/>
  <c r="H52" i="10"/>
  <c r="C52"/>
  <c r="F52"/>
  <c r="D52"/>
  <c r="A53"/>
  <c r="B52"/>
  <c r="E52"/>
  <c r="I52"/>
  <c r="J52"/>
  <c r="G52"/>
  <c r="D54" i="2" l="1"/>
  <c r="D49" i="3" s="1"/>
  <c r="C54" i="2"/>
  <c r="B54"/>
  <c r="A55"/>
  <c r="E54"/>
  <c r="F48" i="3"/>
  <c r="E48"/>
  <c r="C53" i="10"/>
  <c r="I53"/>
  <c r="A54"/>
  <c r="D53"/>
  <c r="B53"/>
  <c r="E53"/>
  <c r="G53"/>
  <c r="H53"/>
  <c r="F53"/>
  <c r="J53"/>
  <c r="A49" i="8"/>
  <c r="C48"/>
  <c r="D48"/>
  <c r="E48"/>
  <c r="F48"/>
  <c r="G48"/>
  <c r="E49" i="3" l="1"/>
  <c r="F49"/>
  <c r="D49" i="8"/>
  <c r="A50"/>
  <c r="G49"/>
  <c r="C49"/>
  <c r="E49"/>
  <c r="F49"/>
  <c r="F54" i="10"/>
  <c r="B54"/>
  <c r="G54"/>
  <c r="A55"/>
  <c r="E54"/>
  <c r="J54"/>
  <c r="C54"/>
  <c r="D54"/>
  <c r="H54"/>
  <c r="I54"/>
  <c r="C55" i="2"/>
  <c r="B55"/>
  <c r="D55"/>
  <c r="D50" i="3" s="1"/>
  <c r="E55" i="2"/>
  <c r="A56"/>
  <c r="B56" l="1"/>
  <c r="D56"/>
  <c r="D51" i="3" s="1"/>
  <c r="C56" i="2"/>
  <c r="E56"/>
  <c r="A57"/>
  <c r="E50" i="3"/>
  <c r="F50"/>
  <c r="J55" i="10"/>
  <c r="I55"/>
  <c r="A56"/>
  <c r="D55"/>
  <c r="B55"/>
  <c r="F55"/>
  <c r="H55"/>
  <c r="E55"/>
  <c r="C55"/>
  <c r="G55"/>
  <c r="D50" i="8"/>
  <c r="A51"/>
  <c r="C50"/>
  <c r="E50"/>
  <c r="F50"/>
  <c r="G50"/>
  <c r="D51" l="1"/>
  <c r="A52"/>
  <c r="G51"/>
  <c r="C51"/>
  <c r="E51"/>
  <c r="F51"/>
  <c r="E57" i="2"/>
  <c r="D57"/>
  <c r="D52" i="3" s="1"/>
  <c r="A58" i="2"/>
  <c r="B57"/>
  <c r="C57"/>
  <c r="G56" i="10"/>
  <c r="I56"/>
  <c r="D56"/>
  <c r="F56"/>
  <c r="B56"/>
  <c r="E56"/>
  <c r="H56"/>
  <c r="A57"/>
  <c r="J56"/>
  <c r="C56"/>
  <c r="E51" i="3"/>
  <c r="F51"/>
  <c r="A58" i="10" l="1"/>
  <c r="D57"/>
  <c r="B57"/>
  <c r="C57"/>
  <c r="I57"/>
  <c r="J57"/>
  <c r="E57"/>
  <c r="G57"/>
  <c r="H57"/>
  <c r="F57"/>
  <c r="D58" i="2"/>
  <c r="D53" i="3" s="1"/>
  <c r="C58" i="2"/>
  <c r="B58"/>
  <c r="A59"/>
  <c r="E58"/>
  <c r="F52" i="3"/>
  <c r="E52"/>
  <c r="E52" i="8"/>
  <c r="G52"/>
  <c r="F52"/>
  <c r="A53"/>
  <c r="D52"/>
  <c r="C52"/>
  <c r="D53" l="1"/>
  <c r="A54"/>
  <c r="G53"/>
  <c r="C53"/>
  <c r="E53"/>
  <c r="F53"/>
  <c r="E53" i="3"/>
  <c r="F53"/>
  <c r="G58" i="10"/>
  <c r="A59"/>
  <c r="E58"/>
  <c r="F58"/>
  <c r="B58"/>
  <c r="I58"/>
  <c r="J58"/>
  <c r="C58"/>
  <c r="D58"/>
  <c r="H58"/>
  <c r="E59" i="2"/>
  <c r="D59"/>
  <c r="D54" i="3" s="1"/>
  <c r="A60" i="2"/>
  <c r="C59"/>
  <c r="B59"/>
  <c r="E60" l="1"/>
  <c r="A61"/>
  <c r="D60"/>
  <c r="D55" i="3" s="1"/>
  <c r="B60" i="2"/>
  <c r="C60"/>
  <c r="F54" i="3"/>
  <c r="E54"/>
  <c r="G59" i="10"/>
  <c r="A60"/>
  <c r="I59"/>
  <c r="E59"/>
  <c r="F59"/>
  <c r="D59"/>
  <c r="H59"/>
  <c r="J59"/>
  <c r="B59"/>
  <c r="C59"/>
  <c r="E54" i="8"/>
  <c r="G54"/>
  <c r="F54"/>
  <c r="A55"/>
  <c r="D54"/>
  <c r="C54"/>
  <c r="D55" l="1"/>
  <c r="A56"/>
  <c r="G55"/>
  <c r="C55"/>
  <c r="E55"/>
  <c r="F55"/>
  <c r="G60" i="10"/>
  <c r="I60"/>
  <c r="D60"/>
  <c r="F60"/>
  <c r="B60"/>
  <c r="A61"/>
  <c r="J60"/>
  <c r="C60"/>
  <c r="E60"/>
  <c r="H60"/>
  <c r="F55" i="3"/>
  <c r="E55"/>
  <c r="E61" i="2"/>
  <c r="D61"/>
  <c r="D56" i="3" s="1"/>
  <c r="A62" i="2"/>
  <c r="B61"/>
  <c r="C61"/>
  <c r="B62" l="1"/>
  <c r="C62"/>
  <c r="D62"/>
  <c r="D57" i="3" s="1"/>
  <c r="A63" i="2"/>
  <c r="E62"/>
  <c r="E56" i="3"/>
  <c r="F56"/>
  <c r="C61" i="10"/>
  <c r="I61"/>
  <c r="A62"/>
  <c r="D61"/>
  <c r="B61"/>
  <c r="E61"/>
  <c r="G61"/>
  <c r="H61"/>
  <c r="F61"/>
  <c r="J61"/>
  <c r="E56" i="8"/>
  <c r="G56"/>
  <c r="F56"/>
  <c r="A57"/>
  <c r="D56"/>
  <c r="C56"/>
  <c r="E57" l="1"/>
  <c r="C57"/>
  <c r="F57"/>
  <c r="D57"/>
  <c r="G57"/>
  <c r="A58"/>
  <c r="E57" i="3"/>
  <c r="F57"/>
  <c r="D62" i="10"/>
  <c r="G62"/>
  <c r="A63"/>
  <c r="B62"/>
  <c r="J62"/>
  <c r="I62"/>
  <c r="C62"/>
  <c r="E62"/>
  <c r="H62"/>
  <c r="F62"/>
  <c r="B63" i="2"/>
  <c r="E63"/>
  <c r="C63"/>
  <c r="D63"/>
  <c r="D58" i="3" s="1"/>
  <c r="A64" i="2"/>
  <c r="C64" l="1"/>
  <c r="E64"/>
  <c r="B64"/>
  <c r="D64"/>
  <c r="D59" i="3" s="1"/>
  <c r="A64" i="10"/>
  <c r="D63"/>
  <c r="B63"/>
  <c r="J63"/>
  <c r="I63"/>
  <c r="H63"/>
  <c r="E63"/>
  <c r="C63"/>
  <c r="G63"/>
  <c r="F63"/>
  <c r="E58" i="3"/>
  <c r="F58"/>
  <c r="D58" i="8"/>
  <c r="A59"/>
  <c r="C58"/>
  <c r="E58"/>
  <c r="F58"/>
  <c r="G58"/>
  <c r="E64" i="10" l="1"/>
  <c r="G64"/>
  <c r="I64"/>
  <c r="B64"/>
  <c r="J64"/>
  <c r="D64"/>
  <c r="H64"/>
  <c r="F64"/>
  <c r="A65"/>
  <c r="C64"/>
  <c r="E59" i="8"/>
  <c r="C59"/>
  <c r="F59"/>
  <c r="D59"/>
  <c r="G59"/>
  <c r="A60"/>
  <c r="E59" i="3"/>
  <c r="F59"/>
  <c r="E65" i="10" l="1"/>
  <c r="G65"/>
  <c r="H65"/>
  <c r="J65"/>
  <c r="B65"/>
  <c r="F65"/>
  <c r="C65"/>
  <c r="D65"/>
  <c r="I65"/>
  <c r="C60" i="8"/>
  <c r="F60"/>
  <c r="E60"/>
  <c r="D60"/>
  <c r="G60"/>
</calcChain>
</file>

<file path=xl/sharedStrings.xml><?xml version="1.0" encoding="utf-8"?>
<sst xmlns="http://schemas.openxmlformats.org/spreadsheetml/2006/main" count="217" uniqueCount="113">
  <si>
    <t>Lost Opportunity Cost</t>
  </si>
  <si>
    <t>Of Compound Interest</t>
  </si>
  <si>
    <t>Initial Investment</t>
  </si>
  <si>
    <t>Rate Of Return</t>
  </si>
  <si>
    <t>Annual Additions</t>
  </si>
  <si>
    <t>Years to Compound</t>
  </si>
  <si>
    <t>Tax Rate</t>
  </si>
  <si>
    <t>LOC Rate Of Return</t>
  </si>
  <si>
    <t xml:space="preserve">Year </t>
  </si>
  <si>
    <t>Principal</t>
  </si>
  <si>
    <t>Interest</t>
  </si>
  <si>
    <t>Taxes</t>
  </si>
  <si>
    <t>LOC+Tax</t>
  </si>
  <si>
    <t>Of Flattened Interest</t>
  </si>
  <si>
    <t>Tax</t>
  </si>
  <si>
    <t>Lost Opportuiniy Cost Savings</t>
  </si>
  <si>
    <t>w/ Flat Tax vs Compound Tax</t>
  </si>
  <si>
    <t>Compound</t>
  </si>
  <si>
    <t>Flat</t>
  </si>
  <si>
    <t>Annual</t>
  </si>
  <si>
    <t>Year</t>
  </si>
  <si>
    <t>Savings</t>
  </si>
  <si>
    <t xml:space="preserve"> Rate Of Return</t>
  </si>
  <si>
    <t>Years To Compound</t>
  </si>
  <si>
    <t>Premium</t>
  </si>
  <si>
    <t>LOC+Prem</t>
  </si>
  <si>
    <t>Paydown Of Capital</t>
  </si>
  <si>
    <t>Initial Balance</t>
  </si>
  <si>
    <t>Ending Balance</t>
  </si>
  <si>
    <t>Years To Pay</t>
  </si>
  <si>
    <t>Annual Payment</t>
  </si>
  <si>
    <t>Rate of Return</t>
  </si>
  <si>
    <t xml:space="preserve">Beginning </t>
  </si>
  <si>
    <t>Gross</t>
  </si>
  <si>
    <t>Taxes Due</t>
  </si>
  <si>
    <t>Total Net</t>
  </si>
  <si>
    <t>Balance</t>
  </si>
  <si>
    <t>Withdrawal</t>
  </si>
  <si>
    <t>On Interest</t>
  </si>
  <si>
    <t>Income</t>
  </si>
  <si>
    <t>Loan Amortization Table</t>
  </si>
  <si>
    <t>Initial Loan Amount</t>
  </si>
  <si>
    <t>Loan Interest Rate</t>
  </si>
  <si>
    <t>Term Of Loan In Years</t>
  </si>
  <si>
    <t>Monthly P&amp;I Payment</t>
  </si>
  <si>
    <t>Add'l Monthly Payment</t>
  </si>
  <si>
    <t>Reg Pmt</t>
  </si>
  <si>
    <t>Add'l Pmt.</t>
  </si>
  <si>
    <t>Tot. Pmt.</t>
  </si>
  <si>
    <t>Prin. Pmt.</t>
  </si>
  <si>
    <t>Int. Pmt.</t>
  </si>
  <si>
    <t>Tax Sav.</t>
  </si>
  <si>
    <t xml:space="preserve"> </t>
  </si>
  <si>
    <t>Mortgage Tax Savings</t>
  </si>
  <si>
    <t>Mort. 1</t>
  </si>
  <si>
    <t>Mort. 2</t>
  </si>
  <si>
    <t>Future</t>
  </si>
  <si>
    <t>Tax. Sav.</t>
  </si>
  <si>
    <t>Value</t>
  </si>
  <si>
    <t>Investment Compounding</t>
  </si>
  <si>
    <t>Dividend</t>
  </si>
  <si>
    <t>Capital Gain</t>
  </si>
  <si>
    <t>Capital Appreciation</t>
  </si>
  <si>
    <t>Tax Rate Dividends</t>
  </si>
  <si>
    <t>Tax Rate Cap. Gain</t>
  </si>
  <si>
    <t>Capital</t>
  </si>
  <si>
    <t>Tax On</t>
  </si>
  <si>
    <t>Additions</t>
  </si>
  <si>
    <t>Gains</t>
  </si>
  <si>
    <t>Appre.</t>
  </si>
  <si>
    <t>Dividends</t>
  </si>
  <si>
    <t>Cap. Gn.</t>
  </si>
  <si>
    <t>Total Tax</t>
  </si>
  <si>
    <t xml:space="preserve">Non-Compounding Investment </t>
  </si>
  <si>
    <t>Gain</t>
  </si>
  <si>
    <t xml:space="preserve"> Cap. Gn.</t>
  </si>
  <si>
    <t>Mutuals</t>
  </si>
  <si>
    <t>Teizo's Term</t>
  </si>
  <si>
    <t>Amount</t>
  </si>
  <si>
    <t>$ Amount:</t>
  </si>
  <si>
    <t>% Return:</t>
  </si>
  <si>
    <t>Scenario:</t>
  </si>
  <si>
    <t>Money:</t>
  </si>
  <si>
    <t>Inflation:</t>
  </si>
  <si>
    <t>Annual:</t>
  </si>
  <si>
    <t>Avg Return:</t>
  </si>
  <si>
    <t>Expenses:</t>
  </si>
  <si>
    <t>Mgt Fee</t>
  </si>
  <si>
    <t>Years</t>
  </si>
  <si>
    <t>BOY</t>
  </si>
  <si>
    <t>%</t>
  </si>
  <si>
    <t>EOY</t>
  </si>
  <si>
    <t>Future Value Calculator</t>
  </si>
  <si>
    <t>Variable Assumptions Calculator</t>
  </si>
  <si>
    <t>% Inflation:</t>
  </si>
  <si>
    <t>Inflation Calculator</t>
  </si>
  <si>
    <t>% Inflation</t>
  </si>
  <si>
    <t># of Payments</t>
  </si>
  <si>
    <t>Payment</t>
  </si>
  <si>
    <t>Aditional</t>
  </si>
  <si>
    <t>One-Time</t>
  </si>
  <si>
    <t>Bill</t>
  </si>
  <si>
    <t>to Payoff</t>
  </si>
  <si>
    <t>Due</t>
  </si>
  <si>
    <t>Extra</t>
  </si>
  <si>
    <t>Paid</t>
  </si>
  <si>
    <t>Escrow</t>
  </si>
  <si>
    <t>To start, enter all pertinent data from your last payment under row X.</t>
  </si>
  <si>
    <t>X</t>
  </si>
  <si>
    <t>ü</t>
  </si>
  <si>
    <t>Adjust payment forecasts according to when you want to reach $0 balance.</t>
  </si>
  <si>
    <t>TOTAL</t>
  </si>
  <si>
    <t xml:space="preserve">Mortgage Paydown Calculator 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</si>
</sst>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_)"/>
    <numFmt numFmtId="165" formatCode="0_)"/>
    <numFmt numFmtId="166" formatCode="0.0_)"/>
    <numFmt numFmtId="167" formatCode="0.0000"/>
    <numFmt numFmtId="168" formatCode="_(&quot;$&quot;* #,##0_);_(&quot;$&quot;* \(#,##0\);_(&quot;$&quot;* &quot;-&quot;??_);_(@_)"/>
  </numFmts>
  <fonts count="66">
    <font>
      <sz val="12"/>
      <name val="Arial MT"/>
    </font>
    <font>
      <b/>
      <i/>
      <u/>
      <sz val="14"/>
      <color indexed="39"/>
      <name val="Helv"/>
      <family val="2"/>
    </font>
    <font>
      <b/>
      <i/>
      <sz val="12"/>
      <color indexed="39"/>
      <name val="Helv"/>
      <family val="2"/>
    </font>
    <font>
      <sz val="12"/>
      <color indexed="39"/>
      <name val="Arial MT"/>
      <family val="2"/>
    </font>
    <font>
      <sz val="12"/>
      <color indexed="16"/>
      <name val="Arial MT"/>
      <family val="2"/>
    </font>
    <font>
      <i/>
      <sz val="24"/>
      <name val="Albertus Extra Bold"/>
      <family val="2"/>
    </font>
    <font>
      <i/>
      <u/>
      <sz val="32"/>
      <name val="Albertus Extra Bold"/>
      <family val="2"/>
    </font>
    <font>
      <b/>
      <i/>
      <u/>
      <sz val="32"/>
      <name val="Albertus Extra Bold"/>
      <family val="2"/>
    </font>
    <font>
      <i/>
      <sz val="18"/>
      <name val="Albertus Extra Bold"/>
      <family val="2"/>
    </font>
    <font>
      <sz val="18"/>
      <color indexed="8"/>
      <name val="Arial MT"/>
      <family val="2"/>
    </font>
    <font>
      <b/>
      <i/>
      <u/>
      <sz val="12"/>
      <name val="Arial MT"/>
      <family val="2"/>
    </font>
    <font>
      <b/>
      <i/>
      <u/>
      <sz val="12"/>
      <color indexed="8"/>
      <name val="CG Omega"/>
      <family val="2"/>
    </font>
    <font>
      <sz val="12"/>
      <color indexed="8"/>
      <name val="CG Omega"/>
      <family val="2"/>
    </font>
    <font>
      <sz val="12"/>
      <color indexed="39"/>
      <name val="CG Omega"/>
      <family val="2"/>
    </font>
    <font>
      <b/>
      <i/>
      <u/>
      <sz val="12"/>
      <name val="CG Omega"/>
      <family val="2"/>
    </font>
    <font>
      <sz val="12"/>
      <color indexed="16"/>
      <name val="CG Omega"/>
      <family val="2"/>
    </font>
    <font>
      <sz val="18"/>
      <name val="Arial MT"/>
      <family val="2"/>
    </font>
    <font>
      <b/>
      <i/>
      <u/>
      <sz val="14"/>
      <name val="CG Omega"/>
      <family val="2"/>
    </font>
    <font>
      <b/>
      <i/>
      <u/>
      <sz val="14"/>
      <name val="Arial MT"/>
      <family val="2"/>
    </font>
    <font>
      <b/>
      <sz val="12"/>
      <color indexed="8"/>
      <name val="CG Omega"/>
      <family val="2"/>
    </font>
    <font>
      <sz val="24"/>
      <color indexed="8"/>
      <name val="Arial MT"/>
      <family val="2"/>
    </font>
    <font>
      <i/>
      <u/>
      <sz val="32"/>
      <color indexed="8"/>
      <name val="Albertus Extra Bold"/>
      <family val="2"/>
    </font>
    <font>
      <i/>
      <u/>
      <sz val="18"/>
      <color indexed="8"/>
      <name val="Albertus Extra Bold"/>
      <family val="2"/>
    </font>
    <font>
      <b/>
      <i/>
      <u/>
      <sz val="14"/>
      <color indexed="8"/>
      <name val="Arial MT"/>
      <family val="2"/>
    </font>
    <font>
      <b/>
      <i/>
      <u/>
      <sz val="14"/>
      <color indexed="8"/>
      <name val="CG Omega"/>
      <family val="2"/>
    </font>
    <font>
      <sz val="18"/>
      <color indexed="8"/>
      <name val="CG Omega"/>
      <family val="2"/>
    </font>
    <font>
      <sz val="18"/>
      <name val="CG Omega"/>
      <family val="2"/>
    </font>
    <font>
      <sz val="12"/>
      <name val="CG Omega"/>
      <family val="2"/>
    </font>
    <font>
      <b/>
      <i/>
      <sz val="14"/>
      <name val="CG Omega"/>
      <family val="2"/>
    </font>
    <font>
      <sz val="32"/>
      <name val="Arial MT"/>
      <family val="2"/>
    </font>
    <font>
      <sz val="32"/>
      <color indexed="8"/>
      <name val="Arial MT"/>
      <family val="2"/>
    </font>
    <font>
      <b/>
      <i/>
      <u/>
      <sz val="18"/>
      <name val="Albertus Extra Bold"/>
      <family val="2"/>
    </font>
    <font>
      <u/>
      <sz val="12"/>
      <name val="Arial MT"/>
    </font>
    <font>
      <i/>
      <u/>
      <sz val="30"/>
      <name val="Albertus Extra Bold"/>
      <family val="2"/>
    </font>
    <font>
      <b/>
      <sz val="12"/>
      <name val="Arial MT"/>
      <family val="2"/>
    </font>
    <font>
      <sz val="12"/>
      <color indexed="12"/>
      <name val="CG Omega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sz val="12"/>
      <color indexed="17"/>
      <name val="Arial MT"/>
      <family val="2"/>
    </font>
    <font>
      <sz val="12"/>
      <color indexed="10"/>
      <name val="Arial MT"/>
      <family val="2"/>
    </font>
    <font>
      <sz val="12"/>
      <color indexed="10"/>
      <name val="CG Omega"/>
      <family val="2"/>
    </font>
    <font>
      <b/>
      <i/>
      <sz val="12"/>
      <name val="Arial MT"/>
      <family val="2"/>
    </font>
    <font>
      <sz val="12"/>
      <color indexed="17"/>
      <name val="CG Omega"/>
      <family val="2"/>
    </font>
    <font>
      <b/>
      <sz val="12"/>
      <name val="CG Omega"/>
      <family val="2"/>
    </font>
    <font>
      <b/>
      <i/>
      <sz val="12"/>
      <name val="CG Omega"/>
      <family val="2"/>
    </font>
    <font>
      <sz val="12"/>
      <color indexed="11"/>
      <name val="Arial MT"/>
      <family val="2"/>
    </font>
    <font>
      <sz val="12"/>
      <color indexed="10"/>
      <name val="Arial MT"/>
    </font>
    <font>
      <b/>
      <i/>
      <u/>
      <sz val="12"/>
      <name val="CG Omega"/>
    </font>
    <font>
      <b/>
      <i/>
      <sz val="12"/>
      <name val="CG Omega"/>
    </font>
    <font>
      <i/>
      <sz val="12"/>
      <name val="Arial MT"/>
    </font>
    <font>
      <sz val="12"/>
      <name val="Arial MT"/>
    </font>
    <font>
      <sz val="11"/>
      <name val="Arial MT"/>
    </font>
    <font>
      <b/>
      <sz val="12"/>
      <name val="Arial MT"/>
    </font>
    <font>
      <b/>
      <sz val="20"/>
      <name val="Arial MT"/>
    </font>
    <font>
      <b/>
      <u/>
      <sz val="18"/>
      <name val="Arial MT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9" tint="-0.499984740745262"/>
      <name val="Arial Narrow"/>
      <family val="2"/>
    </font>
    <font>
      <b/>
      <u/>
      <sz val="14"/>
      <color theme="9" tint="-0.499984740745262"/>
      <name val="Arial Narrow"/>
      <family val="2"/>
    </font>
    <font>
      <b/>
      <sz val="14"/>
      <color rgb="FFC0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Wingdings"/>
      <charset val="2"/>
    </font>
    <font>
      <b/>
      <u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37" fontId="3" fillId="0" borderId="0">
      <alignment horizontal="center"/>
    </xf>
    <xf numFmtId="0" fontId="2" fillId="2" borderId="0"/>
    <xf numFmtId="44" fontId="50" fillId="0" borderId="0" applyFont="0" applyFill="0" applyBorder="0" applyAlignment="0" applyProtection="0"/>
    <xf numFmtId="0" fontId="1" fillId="2" borderId="0"/>
    <xf numFmtId="9" fontId="50" fillId="0" borderId="0" applyFont="0" applyFill="0" applyBorder="0" applyAlignment="0" applyProtection="0"/>
    <xf numFmtId="164" fontId="4" fillId="2" borderId="0">
      <alignment horizontal="center"/>
    </xf>
  </cellStyleXfs>
  <cellXfs count="213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5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164" fontId="8" fillId="0" borderId="0" xfId="0" applyNumberFormat="1" applyFont="1" applyProtection="1"/>
    <xf numFmtId="39" fontId="0" fillId="0" borderId="0" xfId="0" applyNumberFormat="1" applyProtection="1"/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39" fontId="10" fillId="0" borderId="0" xfId="0" applyNumberFormat="1" applyFont="1" applyAlignment="1" applyProtection="1">
      <alignment horizontal="center"/>
    </xf>
    <xf numFmtId="164" fontId="10" fillId="0" borderId="0" xfId="0" applyNumberFormat="1" applyFont="1" applyProtection="1"/>
    <xf numFmtId="0" fontId="0" fillId="0" borderId="0" xfId="0" applyAlignment="1" applyProtection="1">
      <alignment horizontal="center"/>
    </xf>
    <xf numFmtId="39" fontId="0" fillId="0" borderId="0" xfId="0" applyNumberFormat="1" applyAlignment="1" applyProtection="1">
      <alignment horizontal="center"/>
    </xf>
    <xf numFmtId="39" fontId="11" fillId="0" borderId="0" xfId="0" applyNumberFormat="1" applyFont="1" applyAlignment="1" applyProtection="1">
      <alignment horizontal="center"/>
    </xf>
    <xf numFmtId="39" fontId="11" fillId="0" borderId="0" xfId="0" applyNumberFormat="1" applyFont="1" applyProtection="1"/>
    <xf numFmtId="37" fontId="0" fillId="0" borderId="0" xfId="0" applyNumberFormat="1" applyProtection="1"/>
    <xf numFmtId="39" fontId="12" fillId="0" borderId="0" xfId="0" applyNumberFormat="1" applyFont="1" applyAlignment="1" applyProtection="1">
      <alignment horizontal="center"/>
    </xf>
    <xf numFmtId="39" fontId="12" fillId="0" borderId="0" xfId="0" applyNumberFormat="1" applyFont="1" applyProtection="1"/>
    <xf numFmtId="10" fontId="12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39" fontId="9" fillId="0" borderId="0" xfId="0" applyNumberFormat="1" applyFont="1" applyProtection="1"/>
    <xf numFmtId="39" fontId="16" fillId="0" borderId="0" xfId="0" applyNumberFormat="1" applyFont="1" applyProtection="1"/>
    <xf numFmtId="164" fontId="9" fillId="0" borderId="0" xfId="0" applyNumberFormat="1" applyFont="1" applyProtection="1"/>
    <xf numFmtId="39" fontId="17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164" fontId="18" fillId="0" borderId="0" xfId="0" applyNumberFormat="1" applyFont="1" applyAlignment="1" applyProtection="1">
      <alignment horizontal="right"/>
    </xf>
    <xf numFmtId="37" fontId="13" fillId="0" borderId="0" xfId="0" applyNumberFormat="1" applyFont="1" applyProtection="1"/>
    <xf numFmtId="37" fontId="15" fillId="0" borderId="0" xfId="0" applyNumberFormat="1" applyFont="1" applyProtection="1"/>
    <xf numFmtId="0" fontId="20" fillId="0" borderId="0" xfId="0" applyFont="1"/>
    <xf numFmtId="0" fontId="9" fillId="0" borderId="0" xfId="0" applyFont="1"/>
    <xf numFmtId="0" fontId="2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0" fillId="0" borderId="0" xfId="0" applyFont="1"/>
    <xf numFmtId="0" fontId="7" fillId="0" borderId="0" xfId="0" applyFont="1"/>
    <xf numFmtId="0" fontId="16" fillId="0" borderId="0" xfId="0" applyFont="1"/>
    <xf numFmtId="37" fontId="16" fillId="0" borderId="0" xfId="0" applyNumberFormat="1" applyFont="1" applyProtection="1"/>
    <xf numFmtId="37" fontId="11" fillId="0" borderId="0" xfId="0" applyNumberFormat="1" applyFont="1" applyAlignment="1" applyProtection="1">
      <alignment horizontal="center"/>
    </xf>
    <xf numFmtId="0" fontId="25" fillId="0" borderId="0" xfId="0" applyFont="1"/>
    <xf numFmtId="37" fontId="25" fillId="0" borderId="0" xfId="0" applyNumberFormat="1" applyFont="1" applyProtection="1"/>
    <xf numFmtId="37" fontId="26" fillId="0" borderId="0" xfId="0" applyNumberFormat="1" applyFont="1" applyProtection="1"/>
    <xf numFmtId="37" fontId="24" fillId="0" borderId="0" xfId="0" applyNumberFormat="1" applyFont="1" applyAlignment="1" applyProtection="1">
      <alignment horizontal="right"/>
    </xf>
    <xf numFmtId="0" fontId="17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16" fillId="0" borderId="0" xfId="0" applyFont="1" applyProtection="1"/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37" fontId="27" fillId="0" borderId="0" xfId="0" applyNumberFormat="1" applyFont="1" applyProtection="1"/>
    <xf numFmtId="0" fontId="29" fillId="0" borderId="0" xfId="0" applyFont="1"/>
    <xf numFmtId="0" fontId="30" fillId="0" borderId="0" xfId="0" applyFont="1"/>
    <xf numFmtId="0" fontId="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37" fontId="31" fillId="0" borderId="0" xfId="0" applyNumberFormat="1" applyFont="1" applyAlignment="1" applyProtection="1">
      <alignment horizontal="left"/>
    </xf>
    <xf numFmtId="0" fontId="32" fillId="0" borderId="0" xfId="0" applyFont="1"/>
    <xf numFmtId="0" fontId="12" fillId="0" borderId="0" xfId="0" applyFont="1" applyAlignment="1">
      <alignment horizontal="center"/>
    </xf>
    <xf numFmtId="37" fontId="13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7" fontId="13" fillId="0" borderId="0" xfId="0" applyNumberFormat="1" applyFont="1" applyAlignment="1" applyProtection="1">
      <alignment horizontal="right"/>
    </xf>
    <xf numFmtId="0" fontId="33" fillId="0" borderId="0" xfId="0" applyFont="1"/>
    <xf numFmtId="37" fontId="28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right"/>
    </xf>
    <xf numFmtId="0" fontId="27" fillId="0" borderId="0" xfId="0" applyFont="1"/>
    <xf numFmtId="0" fontId="34" fillId="0" borderId="0" xfId="0" applyFont="1" applyProtection="1"/>
    <xf numFmtId="0" fontId="32" fillId="0" borderId="0" xfId="0" applyFont="1" applyProtection="1"/>
    <xf numFmtId="0" fontId="34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43" fillId="0" borderId="0" xfId="0" applyFont="1" applyProtection="1"/>
    <xf numFmtId="0" fontId="27" fillId="0" borderId="0" xfId="0" applyFont="1" applyProtection="1"/>
    <xf numFmtId="37" fontId="36" fillId="0" borderId="0" xfId="0" applyNumberFormat="1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166" fontId="38" fillId="0" borderId="0" xfId="0" applyNumberFormat="1" applyFont="1" applyAlignment="1" applyProtection="1">
      <alignment horizontal="center"/>
    </xf>
    <xf numFmtId="39" fontId="39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7" fontId="42" fillId="0" borderId="0" xfId="0" applyNumberFormat="1" applyFont="1" applyAlignment="1" applyProtection="1">
      <alignment horizontal="center"/>
    </xf>
    <xf numFmtId="0" fontId="4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4" fillId="0" borderId="0" xfId="0" applyFont="1"/>
    <xf numFmtId="37" fontId="35" fillId="0" borderId="0" xfId="0" applyNumberFormat="1" applyFont="1" applyAlignment="1" applyProtection="1">
      <alignment horizontal="right"/>
    </xf>
    <xf numFmtId="37" fontId="42" fillId="0" borderId="0" xfId="0" applyNumberFormat="1" applyFont="1" applyProtection="1"/>
    <xf numFmtId="37" fontId="40" fillId="0" borderId="0" xfId="0" applyNumberFormat="1" applyFont="1" applyProtection="1"/>
    <xf numFmtId="3" fontId="35" fillId="0" borderId="0" xfId="0" applyNumberFormat="1" applyFont="1" applyProtection="1"/>
    <xf numFmtId="3" fontId="42" fillId="0" borderId="0" xfId="0" applyNumberFormat="1" applyFont="1" applyProtection="1"/>
    <xf numFmtId="3" fontId="40" fillId="0" borderId="0" xfId="0" applyNumberFormat="1" applyFont="1" applyProtection="1"/>
    <xf numFmtId="3" fontId="0" fillId="0" borderId="0" xfId="0" applyNumberFormat="1"/>
    <xf numFmtId="37" fontId="40" fillId="0" borderId="0" xfId="0" applyNumberFormat="1" applyFont="1" applyAlignment="1" applyProtection="1">
      <alignment horizontal="center"/>
    </xf>
    <xf numFmtId="37" fontId="35" fillId="0" borderId="0" xfId="0" applyNumberFormat="1" applyFont="1" applyProtection="1"/>
    <xf numFmtId="37" fontId="40" fillId="2" borderId="0" xfId="0" applyNumberFormat="1" applyFont="1" applyFill="1" applyAlignment="1" applyProtection="1">
      <alignment horizontal="center"/>
      <protection locked="0"/>
    </xf>
    <xf numFmtId="39" fontId="40" fillId="2" borderId="0" xfId="0" applyNumberFormat="1" applyFont="1" applyFill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37" fontId="13" fillId="2" borderId="0" xfId="0" applyNumberFormat="1" applyFont="1" applyFill="1" applyAlignment="1" applyProtection="1">
      <alignment horizontal="center"/>
      <protection locked="0"/>
    </xf>
    <xf numFmtId="164" fontId="40" fillId="2" borderId="0" xfId="0" applyNumberFormat="1" applyFont="1" applyFill="1" applyAlignment="1" applyProtection="1">
      <alignment horizontal="center"/>
      <protection locked="0"/>
    </xf>
    <xf numFmtId="37" fontId="40" fillId="2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37" fontId="7" fillId="0" borderId="0" xfId="0" applyNumberFormat="1" applyFont="1" applyAlignment="1" applyProtection="1">
      <alignment horizontal="left"/>
      <protection locked="0"/>
    </xf>
    <xf numFmtId="164" fontId="40" fillId="0" borderId="0" xfId="0" applyNumberFormat="1" applyFont="1" applyFill="1" applyAlignment="1" applyProtection="1">
      <alignment horizontal="center"/>
    </xf>
    <xf numFmtId="0" fontId="46" fillId="0" borderId="0" xfId="0" applyFont="1"/>
    <xf numFmtId="37" fontId="46" fillId="0" borderId="0" xfId="0" applyNumberFormat="1" applyFont="1"/>
    <xf numFmtId="164" fontId="42" fillId="0" borderId="0" xfId="0" applyNumberFormat="1" applyFont="1" applyAlignment="1" applyProtection="1">
      <alignment horizontal="center"/>
    </xf>
    <xf numFmtId="37" fontId="42" fillId="0" borderId="0" xfId="0" applyNumberFormat="1" applyFont="1" applyAlignment="1" applyProtection="1">
      <alignment horizontal="right"/>
    </xf>
    <xf numFmtId="37" fontId="12" fillId="0" borderId="0" xfId="0" applyNumberFormat="1" applyFont="1" applyAlignment="1" applyProtection="1">
      <alignment horizontal="center"/>
    </xf>
    <xf numFmtId="0" fontId="45" fillId="0" borderId="0" xfId="0" applyFont="1"/>
    <xf numFmtId="38" fontId="42" fillId="0" borderId="0" xfId="0" applyNumberFormat="1" applyFont="1" applyProtection="1"/>
    <xf numFmtId="0" fontId="42" fillId="2" borderId="0" xfId="0" applyFont="1" applyFill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37" fontId="33" fillId="0" borderId="0" xfId="0" applyNumberFormat="1" applyFont="1" applyProtection="1">
      <protection locked="0"/>
    </xf>
    <xf numFmtId="37" fontId="35" fillId="2" borderId="0" xfId="0" applyNumberFormat="1" applyFon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166" fontId="40" fillId="2" borderId="0" xfId="0" applyNumberFormat="1" applyFont="1" applyFill="1" applyAlignment="1" applyProtection="1">
      <alignment horizontal="center"/>
      <protection locked="0"/>
    </xf>
    <xf numFmtId="164" fontId="42" fillId="2" borderId="0" xfId="0" applyNumberFormat="1" applyFont="1" applyFill="1" applyAlignment="1" applyProtection="1">
      <alignment horizontal="center"/>
      <protection locked="0"/>
    </xf>
    <xf numFmtId="3" fontId="36" fillId="2" borderId="0" xfId="0" applyNumberFormat="1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166" fontId="38" fillId="2" borderId="0" xfId="0" applyNumberFormat="1" applyFont="1" applyFill="1" applyAlignment="1" applyProtection="1">
      <alignment horizontal="center"/>
      <protection locked="0"/>
    </xf>
    <xf numFmtId="166" fontId="39" fillId="2" borderId="0" xfId="0" applyNumberFormat="1" applyFont="1" applyFill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4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49" fillId="0" borderId="0" xfId="0" applyFont="1"/>
    <xf numFmtId="5" fontId="13" fillId="2" borderId="0" xfId="0" applyNumberFormat="1" applyFont="1" applyFill="1" applyAlignment="1" applyProtection="1">
      <alignment horizontal="center"/>
      <protection locked="0"/>
    </xf>
    <xf numFmtId="2" fontId="12" fillId="2" borderId="0" xfId="0" applyNumberFormat="1" applyFont="1" applyFill="1" applyAlignment="1" applyProtection="1">
      <alignment horizontal="center"/>
      <protection locked="0"/>
    </xf>
    <xf numFmtId="2" fontId="27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 applyProtection="1">
      <protection locked="0"/>
    </xf>
    <xf numFmtId="0" fontId="9" fillId="0" borderId="0" xfId="0" applyFont="1" applyAlignment="1" applyProtection="1"/>
    <xf numFmtId="0" fontId="0" fillId="0" borderId="0" xfId="0" applyAlignment="1" applyProtection="1"/>
    <xf numFmtId="0" fontId="0" fillId="0" borderId="0" xfId="0" applyAlignment="1"/>
    <xf numFmtId="0" fontId="9" fillId="0" borderId="0" xfId="0" applyFont="1" applyAlignment="1">
      <alignment horizontal="right"/>
    </xf>
    <xf numFmtId="0" fontId="6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8" fillId="0" borderId="0" xfId="0" applyFont="1" applyAlignment="1" applyProtection="1"/>
    <xf numFmtId="0" fontId="10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/>
    <xf numFmtId="0" fontId="19" fillId="0" borderId="0" xfId="0" applyFont="1" applyAlignment="1" applyProtection="1"/>
    <xf numFmtId="39" fontId="0" fillId="0" borderId="0" xfId="0" applyNumberFormat="1" applyAlignment="1" applyProtection="1"/>
    <xf numFmtId="0" fontId="5" fillId="0" borderId="0" xfId="0" applyFont="1" applyAlignment="1" applyProtection="1">
      <protection locked="0"/>
    </xf>
    <xf numFmtId="164" fontId="5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</xf>
    <xf numFmtId="37" fontId="7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5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Font="1" applyAlignment="1">
      <alignment horizontal="right"/>
    </xf>
    <xf numFmtId="0" fontId="0" fillId="4" borderId="0" xfId="0" applyFill="1"/>
    <xf numFmtId="0" fontId="56" fillId="0" borderId="0" xfId="0" applyFont="1"/>
    <xf numFmtId="10" fontId="0" fillId="0" borderId="0" xfId="0" applyNumberFormat="1"/>
    <xf numFmtId="0" fontId="57" fillId="0" borderId="0" xfId="0" applyFont="1"/>
    <xf numFmtId="44" fontId="57" fillId="0" borderId="0" xfId="0" applyNumberFormat="1" applyFont="1"/>
    <xf numFmtId="0" fontId="55" fillId="0" borderId="0" xfId="0" applyFont="1" applyAlignment="1">
      <alignment horizontal="center"/>
    </xf>
    <xf numFmtId="167" fontId="55" fillId="0" borderId="0" xfId="0" applyNumberFormat="1" applyFont="1" applyAlignment="1">
      <alignment horizontal="center"/>
    </xf>
    <xf numFmtId="44" fontId="0" fillId="0" borderId="0" xfId="3" applyFont="1"/>
    <xf numFmtId="44" fontId="58" fillId="0" borderId="0" xfId="3" applyFont="1"/>
    <xf numFmtId="44" fontId="0" fillId="0" borderId="0" xfId="0" applyNumberFormat="1"/>
    <xf numFmtId="0" fontId="51" fillId="0" borderId="0" xfId="0" applyFont="1"/>
    <xf numFmtId="44" fontId="51" fillId="0" borderId="0" xfId="3" applyFont="1"/>
    <xf numFmtId="9" fontId="0" fillId="0" borderId="0" xfId="5" applyFont="1"/>
    <xf numFmtId="0" fontId="52" fillId="0" borderId="0" xfId="0" applyFont="1" applyAlignment="1">
      <alignment horizontal="center"/>
    </xf>
    <xf numFmtId="168" fontId="0" fillId="0" borderId="0" xfId="3" applyNumberFormat="1" applyFont="1"/>
    <xf numFmtId="9" fontId="0" fillId="0" borderId="0" xfId="0" applyNumberForma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NumberFormat="1" applyFont="1" applyAlignment="1">
      <alignment horizontal="center"/>
    </xf>
    <xf numFmtId="14" fontId="62" fillId="0" borderId="0" xfId="0" applyNumberFormat="1" applyFont="1"/>
    <xf numFmtId="0" fontId="62" fillId="0" borderId="0" xfId="0" applyFont="1"/>
    <xf numFmtId="0" fontId="62" fillId="0" borderId="0" xfId="0" applyFont="1" applyFill="1"/>
    <xf numFmtId="1" fontId="63" fillId="0" borderId="0" xfId="0" applyNumberFormat="1" applyFont="1"/>
    <xf numFmtId="1" fontId="64" fillId="0" borderId="0" xfId="0" applyNumberFormat="1" applyFont="1"/>
    <xf numFmtId="0" fontId="62" fillId="0" borderId="0" xfId="0" applyFont="1" applyAlignment="1">
      <alignment horizontal="left"/>
    </xf>
    <xf numFmtId="1" fontId="62" fillId="0" borderId="0" xfId="0" applyNumberFormat="1" applyFont="1"/>
    <xf numFmtId="0" fontId="62" fillId="0" borderId="0" xfId="0" applyFont="1" applyFill="1" applyAlignment="1">
      <alignment horizontal="left"/>
    </xf>
    <xf numFmtId="0" fontId="61" fillId="0" borderId="0" xfId="0" applyFont="1" applyAlignment="1">
      <alignment horizontal="left"/>
    </xf>
    <xf numFmtId="14" fontId="62" fillId="0" borderId="0" xfId="0" applyNumberFormat="1" applyFont="1" applyAlignment="1">
      <alignment horizontal="right"/>
    </xf>
    <xf numFmtId="0" fontId="62" fillId="0" borderId="0" xfId="0" applyNumberFormat="1" applyFont="1"/>
    <xf numFmtId="0" fontId="63" fillId="0" borderId="0" xfId="0" applyFont="1"/>
    <xf numFmtId="0" fontId="53" fillId="0" borderId="0" xfId="0" applyFont="1"/>
    <xf numFmtId="0" fontId="54" fillId="0" borderId="0" xfId="0" applyFont="1"/>
    <xf numFmtId="0" fontId="5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61" fillId="0" borderId="0" xfId="0" applyNumberFormat="1" applyFont="1" applyAlignment="1">
      <alignment horizontal="center"/>
    </xf>
  </cellXfs>
  <cellStyles count="7">
    <cellStyle name="blue type" xfId="1"/>
    <cellStyle name="Chart Labels" xfId="2"/>
    <cellStyle name="Currency" xfId="3" builtinId="4"/>
    <cellStyle name="Heading" xfId="4"/>
    <cellStyle name="Normal" xfId="0" builtinId="0"/>
    <cellStyle name="Percent" xfId="5" builtinId="5"/>
    <cellStyle name="red type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324221</xdr:colOff>
      <xdr:row>7</xdr:row>
      <xdr:rowOff>85725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3214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17</xdr:col>
      <xdr:colOff>324221</xdr:colOff>
      <xdr:row>10</xdr:row>
      <xdr:rowOff>60986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7370" y="717468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12</xdr:col>
      <xdr:colOff>720065</xdr:colOff>
      <xdr:row>10</xdr:row>
      <xdr:rowOff>110837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4857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16</xdr:col>
      <xdr:colOff>720065</xdr:colOff>
      <xdr:row>11</xdr:row>
      <xdr:rowOff>63212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0" y="571500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11</xdr:col>
      <xdr:colOff>720065</xdr:colOff>
      <xdr:row>11</xdr:row>
      <xdr:rowOff>110837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6762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15</xdr:col>
      <xdr:colOff>720065</xdr:colOff>
      <xdr:row>9</xdr:row>
      <xdr:rowOff>82262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5238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38100</xdr:rowOff>
    </xdr:from>
    <xdr:to>
      <xdr:col>12</xdr:col>
      <xdr:colOff>314325</xdr:colOff>
      <xdr:row>7</xdr:row>
      <xdr:rowOff>123825</xdr:rowOff>
    </xdr:to>
    <xdr:pic>
      <xdr:nvPicPr>
        <xdr:cNvPr id="1026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552450"/>
          <a:ext cx="45148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324221</xdr:colOff>
      <xdr:row>6</xdr:row>
      <xdr:rowOff>122836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0162" y="185552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11</xdr:col>
      <xdr:colOff>324221</xdr:colOff>
      <xdr:row>16</xdr:row>
      <xdr:rowOff>36245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6851" y="2263734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324220</xdr:colOff>
      <xdr:row>9</xdr:row>
      <xdr:rowOff>159946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8149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324221</xdr:colOff>
      <xdr:row>8</xdr:row>
      <xdr:rowOff>122836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7338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324221</xdr:colOff>
      <xdr:row>8</xdr:row>
      <xdr:rowOff>122836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9481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720065</xdr:colOff>
      <xdr:row>8</xdr:row>
      <xdr:rowOff>209262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520700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24741</xdr:colOff>
      <xdr:row>0</xdr:row>
      <xdr:rowOff>507175</xdr:rowOff>
    </xdr:from>
    <xdr:to>
      <xdr:col>16</xdr:col>
      <xdr:colOff>348962</xdr:colOff>
      <xdr:row>9</xdr:row>
      <xdr:rowOff>48615</xdr:rowOff>
    </xdr:to>
    <xdr:pic>
      <xdr:nvPicPr>
        <xdr:cNvPr id="2" name="Picture 1" descr="400dpiLogo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4124" y="5071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U81"/>
  <sheetViews>
    <sheetView tabSelected="1" defaultGridColor="0" colorId="23" zoomScale="77" workbookViewId="0">
      <selection activeCell="B5" sqref="B5"/>
    </sheetView>
  </sheetViews>
  <sheetFormatPr defaultColWidth="9.77734375" defaultRowHeight="15"/>
  <cols>
    <col min="1" max="1" width="11.5546875" style="150" customWidth="1"/>
    <col min="2" max="5" width="10.77734375" style="7" customWidth="1"/>
    <col min="6" max="6" width="6.77734375" style="1" customWidth="1"/>
    <col min="7" max="7" width="9.77734375" style="2"/>
  </cols>
  <sheetData>
    <row r="1" spans="1:255" ht="40.5">
      <c r="A1" s="153" t="s">
        <v>0</v>
      </c>
      <c r="B1" s="154"/>
      <c r="C1" s="147"/>
      <c r="D1" s="155"/>
      <c r="E1" s="155"/>
      <c r="F1" s="104"/>
      <c r="G1" s="10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5" ht="40.5">
      <c r="A2" s="156" t="s">
        <v>1</v>
      </c>
      <c r="B2" s="151"/>
      <c r="C2" s="151"/>
      <c r="D2" s="148"/>
      <c r="E2" s="165"/>
      <c r="F2" s="155"/>
      <c r="G2" s="166"/>
      <c r="H2" s="167"/>
      <c r="I2" s="16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5" ht="23.25">
      <c r="A3" s="159"/>
      <c r="B3" s="4"/>
      <c r="C3" s="5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5"/>
    </row>
    <row r="4" spans="1:255">
      <c r="A4" s="160"/>
      <c r="B4" s="9" t="s">
        <v>2</v>
      </c>
      <c r="C4" s="10"/>
      <c r="D4" s="9" t="s">
        <v>3</v>
      </c>
      <c r="E4" s="8"/>
      <c r="G4" s="1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>
      <c r="B5" s="142">
        <v>60000</v>
      </c>
      <c r="C5" s="13"/>
      <c r="D5" s="132">
        <v>6</v>
      </c>
      <c r="E5" s="1"/>
    </row>
    <row r="6" spans="1:255">
      <c r="B6" s="12"/>
      <c r="C6" s="13"/>
      <c r="D6" s="13"/>
    </row>
    <row r="7" spans="1:255">
      <c r="A7" s="161"/>
      <c r="B7" s="14" t="s">
        <v>4</v>
      </c>
      <c r="C7" s="14"/>
      <c r="D7" s="14" t="s">
        <v>5</v>
      </c>
      <c r="E7" s="15"/>
      <c r="F7" s="8"/>
      <c r="G7" s="1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pans="1:255">
      <c r="A8" s="162"/>
      <c r="B8" s="108">
        <v>8000</v>
      </c>
      <c r="C8" s="17"/>
      <c r="D8" s="108">
        <v>20</v>
      </c>
      <c r="E8" s="18"/>
    </row>
    <row r="9" spans="1:255">
      <c r="A9" s="162"/>
      <c r="B9" s="19"/>
      <c r="C9" s="17"/>
      <c r="D9" s="1"/>
      <c r="E9" s="18"/>
    </row>
    <row r="10" spans="1:255">
      <c r="A10" s="161"/>
      <c r="B10" s="9" t="s">
        <v>6</v>
      </c>
      <c r="C10" s="14"/>
      <c r="D10" s="20" t="s">
        <v>7</v>
      </c>
      <c r="E10" s="15"/>
      <c r="F10" s="8"/>
      <c r="G10" s="11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>
      <c r="A11" s="162"/>
      <c r="B11" s="109">
        <v>0</v>
      </c>
      <c r="C11" s="17"/>
      <c r="D11" s="109">
        <v>0</v>
      </c>
      <c r="E11" s="18"/>
    </row>
    <row r="12" spans="1:255" ht="23.25">
      <c r="A12" s="149"/>
      <c r="B12" s="21"/>
      <c r="C12" s="22"/>
      <c r="D12" s="21"/>
      <c r="E12" s="21"/>
      <c r="F12" s="5"/>
      <c r="G12" s="2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8.75">
      <c r="A13" s="157" t="s">
        <v>8</v>
      </c>
      <c r="B13" s="24" t="s">
        <v>9</v>
      </c>
      <c r="C13" s="24" t="s">
        <v>10</v>
      </c>
      <c r="D13" s="24" t="s">
        <v>11</v>
      </c>
      <c r="E13" s="24" t="s">
        <v>12</v>
      </c>
      <c r="F13" s="25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</row>
    <row r="14" spans="1:255" ht="15.75">
      <c r="A14" s="158">
        <f>IF($D$8=0," ",1)</f>
        <v>1</v>
      </c>
      <c r="B14" s="27">
        <f>IF(+B5+B8=0," ",+B5+B8)</f>
        <v>68000</v>
      </c>
      <c r="C14" s="91">
        <f>IF(+B14*($D$5/100)=0," ",+B14*($D$5/100))</f>
        <v>4080</v>
      </c>
      <c r="D14" s="92" t="str">
        <f>IF(+C14*($B$11/100)=0," ",C14*($B11/100))</f>
        <v xml:space="preserve"> </v>
      </c>
      <c r="E14" s="92">
        <f>IF(A14=" "," ",(IF(A14=$D$8+1,SUM(E13:$E$14),FV($D$11/100,$D$8-A14,0,-D14,0))))</f>
        <v>0</v>
      </c>
      <c r="F14"/>
      <c r="G14"/>
    </row>
    <row r="15" spans="1:255" ht="15.75">
      <c r="A15" s="158">
        <f t="shared" ref="A15:A46" si="0">IF(A14=" "," ",IF(A14="Totals"," ",IF(A14=$D$8,"Totals",IF(A14&lt;$D$8,A14+1," "))))</f>
        <v>2</v>
      </c>
      <c r="B15" s="27">
        <f>IF(+A15="Totals",+B14+C14,IF(+A14="Totals"," ",IF(+A14=" "," ",+B14+C14+$B$8)))</f>
        <v>80080</v>
      </c>
      <c r="C15" s="91">
        <f>IF(A15="Totals",SUM($C$14),IF(A14="Totals"," ",IF(A14=" "," ",+B15*($D$5/100))))</f>
        <v>4804.8</v>
      </c>
      <c r="D15" s="92">
        <f>IF(A15="Totals",SUM($D$14),IF(A14="Totals"," ",IF(A14=" "," ",C15*($B$11/100))))</f>
        <v>0</v>
      </c>
      <c r="E15" s="92">
        <f>IF(A15=" "," ",(IF(A15="Totals",SUM(E$14:$E14),FV($D$11/100,$D$8-A15,0,-D15,0))))</f>
        <v>0</v>
      </c>
    </row>
    <row r="16" spans="1:255" ht="15.75">
      <c r="A16" s="158">
        <f t="shared" si="0"/>
        <v>3</v>
      </c>
      <c r="B16" s="27">
        <f t="shared" ref="B16:B31" si="1">IF(+A16="Totals",+B15+C15,IF(+A15="Totals"," ",IF(+A15=" "," ",+B15+C15+$B$8)))</f>
        <v>92884.800000000003</v>
      </c>
      <c r="C16" s="91">
        <f>IF(A16="Totals",SUM(C14:$C$15),IF(A15="Totals"," ",IF(A15=" "," ",+B16*($D$5/100))))</f>
        <v>5573.0879999999997</v>
      </c>
      <c r="D16" s="92">
        <f>IF(A16="Totals",SUM(D14:$D$15),IF(A15="Totals"," ",IF(A15=" "," ",C16*($B$11/100))))</f>
        <v>0</v>
      </c>
      <c r="E16" s="92">
        <f>IF(A16=" "," ",(IF(A16="Totals",SUM(E$14:$E15),FV($D$11/100,$D$8-A16,0,-D16,0))))</f>
        <v>0</v>
      </c>
    </row>
    <row r="17" spans="1:5" ht="15.75">
      <c r="A17" s="158">
        <f t="shared" si="0"/>
        <v>4</v>
      </c>
      <c r="B17" s="27">
        <f t="shared" si="1"/>
        <v>106457.88800000001</v>
      </c>
      <c r="C17" s="91">
        <f>IF(A17="Totals",SUM(C14:$C$16),IF(A16="Totals"," ",IF(A16=" "," ",+B17*($D$5/100))))</f>
        <v>6387.4732800000002</v>
      </c>
      <c r="D17" s="92">
        <f>IF(A17="Totals",SUM(D14:$D$16),IF(A16="Totals"," ",IF(A16=" "," ",C17*($B$11/100))))</f>
        <v>0</v>
      </c>
      <c r="E17" s="92">
        <f>IF(A17=" "," ",(IF(A17="Totals",SUM(E$14:$E16),FV($D$11/100,$D$8-A17,0,-D17,0))))</f>
        <v>0</v>
      </c>
    </row>
    <row r="18" spans="1:5" ht="15.75">
      <c r="A18" s="158">
        <f t="shared" si="0"/>
        <v>5</v>
      </c>
      <c r="B18" s="27">
        <f t="shared" si="1"/>
        <v>120845.36128000001</v>
      </c>
      <c r="C18" s="91">
        <f>IF(A18="Totals",SUM(C14:$C$17),IF(A17="Totals"," ",IF(A17=" "," ",+B18*($D$5/100))))</f>
        <v>7250.7216768000008</v>
      </c>
      <c r="D18" s="92">
        <f>IF(A18="Totals",SUM(D14:$D$17),IF(A17="Totals"," ",IF(A17=" "," ",C18*($B$11/100))))</f>
        <v>0</v>
      </c>
      <c r="E18" s="92">
        <f>IF(A18=" "," ",(IF(A18="Totals",SUM(E$14:$E17),FV($D$11/100,$D$8-A18,0,-D18,0))))</f>
        <v>0</v>
      </c>
    </row>
    <row r="19" spans="1:5" ht="15.75">
      <c r="A19" s="158">
        <f t="shared" si="0"/>
        <v>6</v>
      </c>
      <c r="B19" s="27">
        <f t="shared" si="1"/>
        <v>136096.0829568</v>
      </c>
      <c r="C19" s="91">
        <f>IF(A19="Totals",SUM(C14:$C$18),IF(A18="Totals"," ",IF(A18=" "," ",+B19*($D$5/100))))</f>
        <v>8165.764977408</v>
      </c>
      <c r="D19" s="92">
        <f>IF(A19="Totals",SUM(D14:$D$18),IF(A18="Totals"," ",IF(A18=" "," ",C19*($B$11/100))))</f>
        <v>0</v>
      </c>
      <c r="E19" s="92">
        <f>IF(A19=" "," ",(IF(A19="Totals",SUM(E$14:$E18),FV($D$11/100,$D$8-A19,0,-D19,0))))</f>
        <v>0</v>
      </c>
    </row>
    <row r="20" spans="1:5" ht="15.75">
      <c r="A20" s="158">
        <f t="shared" si="0"/>
        <v>7</v>
      </c>
      <c r="B20" s="27">
        <f t="shared" si="1"/>
        <v>152261.847934208</v>
      </c>
      <c r="C20" s="91">
        <f>IF(A20="Totals",SUM(C14:$C$19),IF(A19="Totals"," ",IF(A19=" "," ",+B20*($D$5/100))))</f>
        <v>9135.7108760524789</v>
      </c>
      <c r="D20" s="92">
        <f>IF(A20="Totals",SUM(D14:$D$19),IF(A19="Totals"," ",IF(A19=" "," ",C20*($B$11/100))))</f>
        <v>0</v>
      </c>
      <c r="E20" s="92">
        <f>IF(A20=" "," ",(IF(A20="Totals",SUM(E$14:$E19),FV($D$11/100,$D$8-A20,0,-D20,0))))</f>
        <v>0</v>
      </c>
    </row>
    <row r="21" spans="1:5" ht="15.75">
      <c r="A21" s="158">
        <f t="shared" si="0"/>
        <v>8</v>
      </c>
      <c r="B21" s="27">
        <f t="shared" si="1"/>
        <v>169397.55881026047</v>
      </c>
      <c r="C21" s="91">
        <f>IF(A21="Totals",SUM(C14:$C$20),IF(A20="Totals"," ",IF(A20=" "," ",+B21*($D$5/100))))</f>
        <v>10163.853528615628</v>
      </c>
      <c r="D21" s="92">
        <f>IF(A21="Totals",SUM(D14:$D$20),IF(A20="Totals"," ",IF(A20=" "," ",C21*($B$11/100))))</f>
        <v>0</v>
      </c>
      <c r="E21" s="92">
        <f>IF(A21=" "," ",(IF(A21="Totals",SUM(E$14:$E20),FV($D$11/100,$D$8-A21,0,-D21,0))))</f>
        <v>0</v>
      </c>
    </row>
    <row r="22" spans="1:5" ht="15.75">
      <c r="A22" s="158">
        <f t="shared" si="0"/>
        <v>9</v>
      </c>
      <c r="B22" s="27">
        <f t="shared" si="1"/>
        <v>187561.41233887611</v>
      </c>
      <c r="C22" s="91">
        <f>IF(A22="Totals",SUM(C14:$C$21),IF(A21="Totals"," ",IF(A21=" "," ",+B22*($D$5/100))))</f>
        <v>11253.684740332566</v>
      </c>
      <c r="D22" s="92">
        <f>IF(A22="Totals",SUM(D14:$D$21),IF(A21="Totals"," ",IF(A21=" "," ",C22*($B$11/100))))</f>
        <v>0</v>
      </c>
      <c r="E22" s="92">
        <f>IF(A22=" "," ",(IF(A22="Totals",SUM(E$14:$E21),FV($D$11/100,$D$8-A22,0,-D22,0))))</f>
        <v>0</v>
      </c>
    </row>
    <row r="23" spans="1:5" ht="15.75">
      <c r="A23" s="158">
        <f t="shared" si="0"/>
        <v>10</v>
      </c>
      <c r="B23" s="27">
        <f t="shared" si="1"/>
        <v>206815.09707920867</v>
      </c>
      <c r="C23" s="91">
        <f>IF(A23="Totals",SUM(C14:$C$22),IF(A22="Totals"," ",IF(A22=" "," ",+B23*($D$5/100))))</f>
        <v>12408.905824752521</v>
      </c>
      <c r="D23" s="92">
        <f>IF(A23="Totals",SUM(D14:$D$22),IF(A22="Totals"," ",IF(A22=" "," ",C23*($B$11/100))))</f>
        <v>0</v>
      </c>
      <c r="E23" s="92">
        <f>IF(A23=" "," ",(IF(A23="Totals",SUM(E$14:$E22),FV($D$11/100,$D$8-A23,0,-D23,0))))</f>
        <v>0</v>
      </c>
    </row>
    <row r="24" spans="1:5" ht="15.75">
      <c r="A24" s="158">
        <f t="shared" si="0"/>
        <v>11</v>
      </c>
      <c r="B24" s="27">
        <f t="shared" si="1"/>
        <v>227224.0029039612</v>
      </c>
      <c r="C24" s="91">
        <f>IF(A24="Totals",SUM(C14:$C$23),IF(A23="Totals"," ",IF(A23=" "," ",+B24*($D$5/100))))</f>
        <v>13633.440174237672</v>
      </c>
      <c r="D24" s="92">
        <f>IF(A24="Totals",SUM(D14:$D$23),IF(A23="Totals"," ",IF(A23=" "," ",C24*($B$11/100))))</f>
        <v>0</v>
      </c>
      <c r="E24" s="92">
        <f>IF(A24=" "," ",(IF(A24="Totals",SUM(E$14:$E23),FV($D$11/100,$D$8-A24,0,-D24,0))))</f>
        <v>0</v>
      </c>
    </row>
    <row r="25" spans="1:5" ht="15.75">
      <c r="A25" s="158">
        <f t="shared" si="0"/>
        <v>12</v>
      </c>
      <c r="B25" s="27">
        <f t="shared" si="1"/>
        <v>248857.44307819888</v>
      </c>
      <c r="C25" s="91">
        <f>IF(A25="Totals",SUM(C14:$C$24),IF(A24="Totals"," ",IF(A24=" "," ",+B25*($D$5/100))))</f>
        <v>14931.446584691932</v>
      </c>
      <c r="D25" s="92">
        <f>IF(A25="Totals",SUM(D14:$D$24),IF(A24="Totals"," ",IF(A24=" "," ",C25*($B$11/100))))</f>
        <v>0</v>
      </c>
      <c r="E25" s="92">
        <f>IF(A25=" "," ",(IF(A25="Totals",SUM(E$14:$E24),FV($D$11/100,$D$8-A25,0,-D25,0))))</f>
        <v>0</v>
      </c>
    </row>
    <row r="26" spans="1:5" ht="15.75">
      <c r="A26" s="158">
        <f t="shared" si="0"/>
        <v>13</v>
      </c>
      <c r="B26" s="27">
        <f t="shared" si="1"/>
        <v>271788.88966289081</v>
      </c>
      <c r="C26" s="91">
        <f>IF(A26="Totals",SUM(C14:$C$25),IF(A25="Totals"," ",IF(A25=" "," ",+B26*($D$5/100))))</f>
        <v>16307.333379773449</v>
      </c>
      <c r="D26" s="92">
        <f>IF(A26="Totals",SUM(D14:$D$25),IF(A25="Totals"," ",IF(A25=" "," ",C26*($B$11/100))))</f>
        <v>0</v>
      </c>
      <c r="E26" s="92">
        <f>IF(A26=" "," ",(IF(A26="Totals",SUM(E$14:$E25),FV($D$11/100,$D$8-A26,0,-D26,0))))</f>
        <v>0</v>
      </c>
    </row>
    <row r="27" spans="1:5" ht="15.75">
      <c r="A27" s="158">
        <f t="shared" si="0"/>
        <v>14</v>
      </c>
      <c r="B27" s="27">
        <f t="shared" si="1"/>
        <v>296096.22304266423</v>
      </c>
      <c r="C27" s="91">
        <f>IF(A27="Totals",SUM(C14:$C$26),IF(A26="Totals"," ",IF(A26=" "," ",+B27*($D$5/100))))</f>
        <v>17765.773382559852</v>
      </c>
      <c r="D27" s="92">
        <f>IF(A27="Totals",SUM(D14:$D$26),IF(A26="Totals"," ",IF(A26=" "," ",C27*($B$11/100))))</f>
        <v>0</v>
      </c>
      <c r="E27" s="92">
        <f>IF(A27=" "," ",(IF(A27="Totals",SUM(E$14:$E26),FV($D$11/100,$D$8-A27,0,-D27,0))))</f>
        <v>0</v>
      </c>
    </row>
    <row r="28" spans="1:5" ht="15.75">
      <c r="A28" s="158">
        <f t="shared" si="0"/>
        <v>15</v>
      </c>
      <c r="B28" s="27">
        <f t="shared" si="1"/>
        <v>321861.99642522406</v>
      </c>
      <c r="C28" s="91">
        <f>IF(A28="Totals",SUM(C14:$C$27),IF(A27="Totals"," ",IF(A27=" "," ",+B28*($D$5/100))))</f>
        <v>19311.719785513444</v>
      </c>
      <c r="D28" s="92">
        <f>IF(A28="Totals",SUM(D14:$D$27),IF(A27="Totals"," ",IF(A27=" "," ",C28*($B$11/100))))</f>
        <v>0</v>
      </c>
      <c r="E28" s="92">
        <f>IF(A28=" "," ",(IF(A28="Totals",SUM(E$14:$E27),FV($D$11/100,$D$8-A28,0,-D28,0))))</f>
        <v>0</v>
      </c>
    </row>
    <row r="29" spans="1:5" ht="15.75">
      <c r="A29" s="158">
        <f t="shared" si="0"/>
        <v>16</v>
      </c>
      <c r="B29" s="27">
        <f t="shared" si="1"/>
        <v>349173.71621073748</v>
      </c>
      <c r="C29" s="91">
        <f>IF(A29="Totals",SUM(C14:$C$28),IF(A28="Totals"," ",IF(A28=" "," ",+B29*($D$5/100))))</f>
        <v>20950.422972644246</v>
      </c>
      <c r="D29" s="92">
        <f>IF(A29="Totals",SUM(D14:$D$28),IF(A28="Totals"," ",IF(A28=" "," ",C29*($B$11/100))))</f>
        <v>0</v>
      </c>
      <c r="E29" s="92">
        <f>IF(A29=" "," ",(IF(A29="Totals",SUM(E$14:$E28),FV($D$11/100,$D$8-A29,0,-D29,0))))</f>
        <v>0</v>
      </c>
    </row>
    <row r="30" spans="1:5" ht="15.75">
      <c r="A30" s="158">
        <f t="shared" si="0"/>
        <v>17</v>
      </c>
      <c r="B30" s="27">
        <f t="shared" si="1"/>
        <v>378124.13918338175</v>
      </c>
      <c r="C30" s="91">
        <f>IF(A30="Totals",SUM(C14:$C$29),IF(A29="Totals"," ",IF(A29=" "," ",+B30*($D$5/100))))</f>
        <v>22687.448351002902</v>
      </c>
      <c r="D30" s="92">
        <f>IF(A30="Totals",SUM(D14:$D$29),IF(A29="Totals"," ",IF(A29=" "," ",C30*($B$11/100))))</f>
        <v>0</v>
      </c>
      <c r="E30" s="92">
        <f>IF(A30=" "," ",(IF(A30="Totals",SUM(E$14:$E29),FV($D$11/100,$D$8-A30,0,-D30,0))))</f>
        <v>0</v>
      </c>
    </row>
    <row r="31" spans="1:5" ht="15.75">
      <c r="A31" s="158">
        <f t="shared" si="0"/>
        <v>18</v>
      </c>
      <c r="B31" s="27">
        <f t="shared" si="1"/>
        <v>408811.58753438463</v>
      </c>
      <c r="C31" s="91">
        <f>IF(A31="Totals",SUM(C14:$C$30),IF(A30="Totals"," ",IF(A30=" "," ",+B31*($D$5/100))))</f>
        <v>24528.695252063077</v>
      </c>
      <c r="D31" s="92">
        <f>IF(A31="Totals",SUM(D14:$D$30),IF(A30="Totals"," ",IF(A30=" "," ",C31*($B$11/100))))</f>
        <v>0</v>
      </c>
      <c r="E31" s="92">
        <f>IF(A31=" "," ",(IF(A31="Totals",SUM(E$14:$E30),FV($D$11/100,$D$8-A31,0,-D31,0))))</f>
        <v>0</v>
      </c>
    </row>
    <row r="32" spans="1:5" ht="15.75">
      <c r="A32" s="158">
        <f t="shared" si="0"/>
        <v>19</v>
      </c>
      <c r="B32" s="27">
        <f t="shared" ref="B32:B47" si="2">IF(+A32="Totals",+B31+C31,IF(+A31="Totals"," ",IF(+A31=" "," ",+B31+C31+$B$8)))</f>
        <v>441340.28278644773</v>
      </c>
      <c r="C32" s="91">
        <f>IF(A32="Totals",SUM(C14:$C$31),IF(A31="Totals"," ",IF(A31=" "," ",+B32*($D$5/100))))</f>
        <v>26480.416967186862</v>
      </c>
      <c r="D32" s="92">
        <f>IF(A32="Totals",SUM(D14:$D$31),IF(A31="Totals"," ",IF(A31=" "," ",C32*($B$11/100))))</f>
        <v>0</v>
      </c>
      <c r="E32" s="92">
        <f>IF(A32=" "," ",(IF(A32="Totals",SUM(E$14:$E31),FV($D$11/100,$D$8-A32,0,-D32,0))))</f>
        <v>0</v>
      </c>
    </row>
    <row r="33" spans="1:5" ht="15.75">
      <c r="A33" s="158">
        <f t="shared" si="0"/>
        <v>20</v>
      </c>
      <c r="B33" s="27">
        <f t="shared" si="2"/>
        <v>475820.69975363457</v>
      </c>
      <c r="C33" s="91">
        <f>IF(A33="Totals",SUM(C14:$C$32),IF(A32="Totals"," ",IF(A32=" "," ",+B33*($D$5/100))))</f>
        <v>28549.241985218072</v>
      </c>
      <c r="D33" s="92">
        <f>IF(A33="Totals",SUM(D14:$D$32),IF(A32="Totals"," ",IF(A32=" "," ",C33*($B$11/100))))</f>
        <v>0</v>
      </c>
      <c r="E33" s="92">
        <f>IF(A33=" "," ",(IF(A33="Totals",SUM(E$14:$E32),FV($D$11/100,$D$8-A33,0,-D33,0))))</f>
        <v>0</v>
      </c>
    </row>
    <row r="34" spans="1:5" ht="15.75">
      <c r="A34" s="158" t="str">
        <f t="shared" si="0"/>
        <v>Totals</v>
      </c>
      <c r="B34" s="27">
        <f t="shared" si="2"/>
        <v>504369.94173885265</v>
      </c>
      <c r="C34" s="91">
        <f>IF(A34="Totals",SUM(C14:$C$33),IF(A33="Totals"," ",IF(A33=" "," ",+B34*($D$5/100))))</f>
        <v>284369.94173885271</v>
      </c>
      <c r="D34" s="92">
        <f>IF(A34="Totals",SUM(D14:$D$33),IF(A33="Totals"," ",IF(A33=" "," ",C34*($B$11/100))))</f>
        <v>0</v>
      </c>
      <c r="E34" s="92">
        <f>IF(A34=" "," ",(IF(A34="Totals",SUM(E$14:$E33),FV($D$11/100,$D$8-A34,0,-D34,0))))</f>
        <v>0</v>
      </c>
    </row>
    <row r="35" spans="1:5" ht="15.75">
      <c r="A35" s="158" t="str">
        <f t="shared" si="0"/>
        <v xml:space="preserve"> </v>
      </c>
      <c r="B35" s="27" t="str">
        <f t="shared" si="2"/>
        <v xml:space="preserve"> </v>
      </c>
      <c r="C35" s="91" t="str">
        <f>IF(A35="Totals",SUM(C14:$C$34),IF(A34="Totals"," ",IF(A34=" "," ",+B35*($D$5/100))))</f>
        <v xml:space="preserve"> </v>
      </c>
      <c r="D35" s="92" t="str">
        <f>IF(A35="Totals",SUM(D14:$D$34),IF(A34="Totals"," ",IF(A34=" "," ",C35*($B$11/100))))</f>
        <v xml:space="preserve"> </v>
      </c>
      <c r="E35" s="92" t="str">
        <f>IF(A35=" "," ",(IF(A35="Totals",SUM(E$14:$E34),FV($D$11/100,$D$8-A35,0,-D35,0))))</f>
        <v xml:space="preserve"> </v>
      </c>
    </row>
    <row r="36" spans="1:5" ht="15.75">
      <c r="A36" s="158" t="str">
        <f t="shared" si="0"/>
        <v xml:space="preserve"> </v>
      </c>
      <c r="B36" s="27" t="str">
        <f t="shared" si="2"/>
        <v xml:space="preserve"> </v>
      </c>
      <c r="C36" s="91" t="str">
        <f>IF(A36="Totals",SUM(C14:$C$35),IF(A35="Totals"," ",IF(A35=" "," ",+B36*($D$5/100))))</f>
        <v xml:space="preserve"> </v>
      </c>
      <c r="D36" s="92" t="str">
        <f>IF(A36="Totals",SUM(D14:$D$35),IF(A35="Totals"," ",IF(A35=" "," ",C36*($B$11/100))))</f>
        <v xml:space="preserve"> </v>
      </c>
      <c r="E36" s="92" t="str">
        <f>IF(A36=" "," ",(IF(A36="Totals",SUM(E$14:$E35),FV($D$11/100,$D$8-A36,0,-D36,0))))</f>
        <v xml:space="preserve"> </v>
      </c>
    </row>
    <row r="37" spans="1:5" ht="15.75">
      <c r="A37" s="158" t="str">
        <f t="shared" si="0"/>
        <v xml:space="preserve"> </v>
      </c>
      <c r="B37" s="27" t="str">
        <f t="shared" si="2"/>
        <v xml:space="preserve"> </v>
      </c>
      <c r="C37" s="91" t="str">
        <f>IF(A37="Totals",SUM(C14:$C$36),IF(A36="Totals"," ",IF(A36=" "," ",+B37*($D$5/100))))</f>
        <v xml:space="preserve"> </v>
      </c>
      <c r="D37" s="92" t="str">
        <f>IF(A37="Totals",SUM(D14:$D$36),IF(A36="Totals"," ",IF(A36=" "," ",C37*($B$11/100))))</f>
        <v xml:space="preserve"> </v>
      </c>
      <c r="E37" s="92" t="str">
        <f>IF(A37=" "," ",(IF(A37="Totals",SUM(E$14:$E36),FV($D$11/100,$D$8-A37,0,-D37,0))))</f>
        <v xml:space="preserve"> </v>
      </c>
    </row>
    <row r="38" spans="1:5" ht="15.75">
      <c r="A38" s="158" t="str">
        <f t="shared" si="0"/>
        <v xml:space="preserve"> </v>
      </c>
      <c r="B38" s="27" t="str">
        <f t="shared" si="2"/>
        <v xml:space="preserve"> </v>
      </c>
      <c r="C38" s="91" t="str">
        <f>IF(A38="Totals",SUM(C14:$C$37),IF(A37="Totals"," ",IF(A37=" "," ",+B38*($D$5/100))))</f>
        <v xml:space="preserve"> </v>
      </c>
      <c r="D38" s="92" t="str">
        <f>IF(A38="Totals",SUM(D14:$D$37),IF(A37="Totals"," ",IF(A37=" "," ",C38*($B$11/100))))</f>
        <v xml:space="preserve"> </v>
      </c>
      <c r="E38" s="92" t="str">
        <f>IF(A38=" "," ",(IF(A38="Totals",SUM(E$14:$E37),FV($D$11/100,$D$8-A38,0,-D38,0))))</f>
        <v xml:space="preserve"> </v>
      </c>
    </row>
    <row r="39" spans="1:5" ht="15.75">
      <c r="A39" s="158" t="str">
        <f t="shared" si="0"/>
        <v xml:space="preserve"> </v>
      </c>
      <c r="B39" s="27" t="str">
        <f t="shared" si="2"/>
        <v xml:space="preserve"> </v>
      </c>
      <c r="C39" s="91" t="str">
        <f>IF(A39="Totals",SUM(C14:$C$38),IF(A38="Totals"," ",IF(A38=" "," ",+B39*($D$5/100))))</f>
        <v xml:space="preserve"> </v>
      </c>
      <c r="D39" s="92" t="str">
        <f>IF(A39="Totals",SUM(D14:$D$38),IF(A38="Totals"," ",IF(A38=" "," ",C39*($B$11/100))))</f>
        <v xml:space="preserve"> </v>
      </c>
      <c r="E39" s="92" t="str">
        <f>IF(A39=" "," ",(IF(A39="Totals",SUM(E$14:$E38),FV($D$11/100,$D$8-A39,0,-D39,0))))</f>
        <v xml:space="preserve"> </v>
      </c>
    </row>
    <row r="40" spans="1:5" ht="15.75">
      <c r="A40" s="158" t="str">
        <f t="shared" si="0"/>
        <v xml:space="preserve"> </v>
      </c>
      <c r="B40" s="27" t="str">
        <f t="shared" si="2"/>
        <v xml:space="preserve"> </v>
      </c>
      <c r="C40" s="91" t="str">
        <f>IF(A40="Totals",SUM(C14:$C$39),IF(A39="Totals"," ",IF(A39=" "," ",+B40*($D$5/100))))</f>
        <v xml:space="preserve"> </v>
      </c>
      <c r="D40" s="92" t="str">
        <f>IF(A40="Totals",SUM(D14:$D$39),IF(A39="Totals"," ",IF(A39=" "," ",C40*($B$11/100))))</f>
        <v xml:space="preserve"> </v>
      </c>
      <c r="E40" s="92" t="str">
        <f>IF(A40=" "," ",(IF(A40="Totals",SUM(E$14:$E39),FV($D$11/100,$D$8-A40,0,-D40,0))))</f>
        <v xml:space="preserve"> </v>
      </c>
    </row>
    <row r="41" spans="1:5" ht="15.75">
      <c r="A41" s="158" t="str">
        <f t="shared" si="0"/>
        <v xml:space="preserve"> </v>
      </c>
      <c r="B41" s="27" t="str">
        <f t="shared" si="2"/>
        <v xml:space="preserve"> </v>
      </c>
      <c r="C41" s="91" t="str">
        <f>IF(A41="Totals",SUM(C14:$C$40),IF(A40="Totals"," ",IF(A40=" "," ",+B41*($D$5/100))))</f>
        <v xml:space="preserve"> </v>
      </c>
      <c r="D41" s="92" t="str">
        <f>IF(A41="Totals",SUM(D14:$D$40),IF(A40="Totals"," ",IF(A40=" "," ",C41*($B$11/100))))</f>
        <v xml:space="preserve"> </v>
      </c>
      <c r="E41" s="92" t="str">
        <f>IF(A41=" "," ",(IF(A41="Totals",SUM(E$14:$E40),FV($D$11/100,$D$8-A41,0,-D41,0))))</f>
        <v xml:space="preserve"> </v>
      </c>
    </row>
    <row r="42" spans="1:5" ht="15.75">
      <c r="A42" s="158" t="str">
        <f t="shared" si="0"/>
        <v xml:space="preserve"> </v>
      </c>
      <c r="B42" s="27" t="str">
        <f t="shared" si="2"/>
        <v xml:space="preserve"> </v>
      </c>
      <c r="C42" s="91" t="str">
        <f>IF(A42="Totals",SUM(C14:$C$41),IF(A41="Totals"," ",IF(A41=" "," ",+B42*($D$5/100))))</f>
        <v xml:space="preserve"> </v>
      </c>
      <c r="D42" s="92" t="str">
        <f>IF(A42="Totals",SUM(D14:$D$41),IF(A41="Totals"," ",IF(A41=" "," ",C42*($B$11/100))))</f>
        <v xml:space="preserve"> </v>
      </c>
      <c r="E42" s="92" t="str">
        <f>IF(A42=" "," ",(IF(A42="Totals",SUM(E$14:$E41),FV($D$11/100,$D$8-A42,0,-D42,0))))</f>
        <v xml:space="preserve"> </v>
      </c>
    </row>
    <row r="43" spans="1:5" ht="15.75">
      <c r="A43" s="158" t="str">
        <f t="shared" si="0"/>
        <v xml:space="preserve"> </v>
      </c>
      <c r="B43" s="27" t="str">
        <f t="shared" si="2"/>
        <v xml:space="preserve"> </v>
      </c>
      <c r="C43" s="91" t="str">
        <f>IF(A43="Totals",SUM(C14:$C$42),IF(A42="Totals"," ",IF(A42=" "," ",+B43*($D$5/100))))</f>
        <v xml:space="preserve"> </v>
      </c>
      <c r="D43" s="92" t="str">
        <f>IF(A43="Totals",SUM(D14:$D$42),IF(A42="Totals"," ",IF(A42=" "," ",C43*($B$11/100))))</f>
        <v xml:space="preserve"> </v>
      </c>
      <c r="E43" s="92" t="str">
        <f>IF(A43=" "," ",(IF(A43="Totals",SUM(E$14:$E42),FV($D$11/100,$D$8-A43,0,-D43,0))))</f>
        <v xml:space="preserve"> </v>
      </c>
    </row>
    <row r="44" spans="1:5" ht="15.75">
      <c r="A44" s="158" t="str">
        <f t="shared" si="0"/>
        <v xml:space="preserve"> </v>
      </c>
      <c r="B44" s="27" t="str">
        <f t="shared" si="2"/>
        <v xml:space="preserve"> </v>
      </c>
      <c r="C44" s="91" t="str">
        <f>IF(A44="Totals",SUM(C14:$C$43),IF(A43="Totals"," ",IF(A43=" "," ",+B44*($D$5/100))))</f>
        <v xml:space="preserve"> </v>
      </c>
      <c r="D44" s="92" t="str">
        <f>IF(A44="Totals",SUM(D14:$D$43),IF(A43="Totals"," ",IF(A43=" "," ",C44*($B$11/100))))</f>
        <v xml:space="preserve"> </v>
      </c>
      <c r="E44" s="92" t="str">
        <f>IF(A44=" "," ",(IF(A44="Totals",SUM(E$14:$E43),FV($D$11/100,$D$8-A44,0,-D44,0))))</f>
        <v xml:space="preserve"> </v>
      </c>
    </row>
    <row r="45" spans="1:5" ht="15.75">
      <c r="A45" s="158" t="str">
        <f t="shared" si="0"/>
        <v xml:space="preserve"> </v>
      </c>
      <c r="B45" s="27" t="str">
        <f t="shared" si="2"/>
        <v xml:space="preserve"> </v>
      </c>
      <c r="C45" s="91" t="str">
        <f>IF(A45="Totals",SUM(C14:$C$44),IF(A44="Totals"," ",IF(A44=" "," ",+B45*($D$5/100))))</f>
        <v xml:space="preserve"> </v>
      </c>
      <c r="D45" s="92" t="str">
        <f>IF(A45="Totals",SUM(D14:$D$44),IF(A44="Totals"," ",IF(A44=" "," ",C45*($B$11/100))))</f>
        <v xml:space="preserve"> </v>
      </c>
      <c r="E45" s="92" t="str">
        <f>IF(A45=" "," ",(IF(A45="Totals",SUM(E$14:$E44),FV($D$11/100,$D$8-A45,0,-D45,0))))</f>
        <v xml:space="preserve"> </v>
      </c>
    </row>
    <row r="46" spans="1:5" ht="15.75">
      <c r="A46" s="158" t="str">
        <f t="shared" si="0"/>
        <v xml:space="preserve"> </v>
      </c>
      <c r="B46" s="27" t="str">
        <f t="shared" si="2"/>
        <v xml:space="preserve"> </v>
      </c>
      <c r="C46" s="91" t="str">
        <f>IF(A46="Totals",SUM(C14:$C$45),IF(A45="Totals"," ",IF(A45=" "," ",+B46*($D$5/100))))</f>
        <v xml:space="preserve"> </v>
      </c>
      <c r="D46" s="92" t="str">
        <f>IF(A46="Totals",SUM(D14:$D$45),IF(A45="Totals"," ",IF(A45=" "," ",C46*($B$11/100))))</f>
        <v xml:space="preserve"> </v>
      </c>
      <c r="E46" s="92" t="str">
        <f>IF(A46=" "," ",(IF(A46="Totals",SUM(E$14:$E45),FV($D$11/100,$D$8-A46,0,-D46,0))))</f>
        <v xml:space="preserve"> </v>
      </c>
    </row>
    <row r="47" spans="1:5" ht="15.75">
      <c r="A47" s="158" t="str">
        <f t="shared" ref="A47:A64" si="3">IF(A46=" "," ",IF(A46="Totals"," ",IF(A46=$D$8,"Totals",IF(A46&lt;$D$8,A46+1," "))))</f>
        <v xml:space="preserve"> </v>
      </c>
      <c r="B47" s="27" t="str">
        <f t="shared" si="2"/>
        <v xml:space="preserve"> </v>
      </c>
      <c r="C47" s="91" t="str">
        <f>IF(A47="Totals",SUM(C14:$C$46),IF(A46="Totals"," ",IF(A46=" "," ",+B47*($D$5/100))))</f>
        <v xml:space="preserve"> </v>
      </c>
      <c r="D47" s="92" t="str">
        <f>IF(A47="Totals",SUM(D14:$D$46),IF(A46="Totals"," ",IF(A46=" "," ",C47*($B$11/100))))</f>
        <v xml:space="preserve"> </v>
      </c>
      <c r="E47" s="92" t="str">
        <f>IF(A47=" "," ",(IF(A47="Totals",SUM(E$14:$E46),FV($D$11/100,$D$8-A47,0,-D47,0))))</f>
        <v xml:space="preserve"> </v>
      </c>
    </row>
    <row r="48" spans="1:5" ht="15.75">
      <c r="A48" s="158" t="str">
        <f t="shared" si="3"/>
        <v xml:space="preserve"> </v>
      </c>
      <c r="B48" s="27" t="str">
        <f t="shared" ref="B48:B63" si="4">IF(+A48="Totals",+B47+C47,IF(+A47="Totals"," ",IF(+A47=" "," ",+B47+C47+$B$8)))</f>
        <v xml:space="preserve"> </v>
      </c>
      <c r="C48" s="91" t="str">
        <f>IF(A48="Totals",SUM(C14:$C$47),IF(A47="Totals"," ",IF(A47=" "," ",+B48*($D$5/100))))</f>
        <v xml:space="preserve"> </v>
      </c>
      <c r="D48" s="92" t="str">
        <f>IF(A48="Totals",SUM(D14:$D$47),IF(A47="Totals"," ",IF(A47=" "," ",C48*($B$11/100))))</f>
        <v xml:space="preserve"> </v>
      </c>
      <c r="E48" s="92" t="str">
        <f>IF(A48=" "," ",(IF(A48="Totals",SUM(E$14:$E47),FV($D$11/100,$D$8-A48,0,-D48,0))))</f>
        <v xml:space="preserve"> </v>
      </c>
    </row>
    <row r="49" spans="1:6" ht="15.75">
      <c r="A49" s="158" t="str">
        <f t="shared" si="3"/>
        <v xml:space="preserve"> </v>
      </c>
      <c r="B49" s="27" t="str">
        <f t="shared" si="4"/>
        <v xml:space="preserve"> </v>
      </c>
      <c r="C49" s="91" t="str">
        <f>IF(A49="Totals",SUM(C14:$C$48),IF(A48="Totals"," ",IF(A48=" "," ",+B49*($D$5/100))))</f>
        <v xml:space="preserve"> </v>
      </c>
      <c r="D49" s="92" t="str">
        <f>IF(A49="Totals",SUM(D14:$D$48),IF(A48="Totals"," ",IF(A48=" "," ",C49*($B$11/100))))</f>
        <v xml:space="preserve"> </v>
      </c>
      <c r="E49" s="92" t="str">
        <f>IF(A49=" "," ",(IF(A49="Totals",SUM(E$14:$E48),FV($D$11/100,$D$8-A49,0,-D49,0))))</f>
        <v xml:space="preserve"> </v>
      </c>
    </row>
    <row r="50" spans="1:6" ht="15.75">
      <c r="A50" s="158" t="str">
        <f t="shared" si="3"/>
        <v xml:space="preserve"> </v>
      </c>
      <c r="B50" s="27" t="str">
        <f t="shared" si="4"/>
        <v xml:space="preserve"> </v>
      </c>
      <c r="C50" s="91" t="str">
        <f>IF(A50="Totals",SUM(C14:$C$49),IF(A49="Totals"," ",IF(A49=" "," ",+B50*($D$5/100))))</f>
        <v xml:space="preserve"> </v>
      </c>
      <c r="D50" s="92" t="str">
        <f>IF(A50="Totals",SUM(D14:$D$49),IF(A49="Totals"," ",IF(A49=" "," ",C50*($B$11/100))))</f>
        <v xml:space="preserve"> </v>
      </c>
      <c r="E50" s="92" t="str">
        <f>IF(A50=" "," ",(IF(A50="Totals",SUM(E$14:$E49),FV($D$11/100,$D$8-A50,0,-D50,0))))</f>
        <v xml:space="preserve"> </v>
      </c>
    </row>
    <row r="51" spans="1:6" ht="15.75">
      <c r="A51" s="158" t="str">
        <f t="shared" si="3"/>
        <v xml:space="preserve"> </v>
      </c>
      <c r="B51" s="27" t="str">
        <f t="shared" si="4"/>
        <v xml:space="preserve"> </v>
      </c>
      <c r="C51" s="91" t="str">
        <f>IF(A51="Totals",SUM(C14:$C$50),IF(A50="Totals"," ",IF(A50=" "," ",+B51*($D$5/100))))</f>
        <v xml:space="preserve"> </v>
      </c>
      <c r="D51" s="92" t="str">
        <f>IF(A51="Totals",SUM(D14:$D$50),IF(A50="Totals"," ",IF(A50=" "," ",C51*($B$11/100))))</f>
        <v xml:space="preserve"> </v>
      </c>
      <c r="E51" s="92" t="str">
        <f>IF(A51=" "," ",(IF(A51="Totals",SUM(E$14:$E50),FV($D$11/100,$D$8-A51,0,-D51,0))))</f>
        <v xml:space="preserve"> </v>
      </c>
    </row>
    <row r="52" spans="1:6" ht="15.75">
      <c r="A52" s="158" t="str">
        <f t="shared" si="3"/>
        <v xml:space="preserve"> </v>
      </c>
      <c r="B52" s="27" t="str">
        <f t="shared" si="4"/>
        <v xml:space="preserve"> </v>
      </c>
      <c r="C52" s="91" t="str">
        <f>IF(A52="Totals",SUM(C14:$C$51),IF(A51="Totals"," ",IF(A51=" "," ",+B52*($D$5/100))))</f>
        <v xml:space="preserve"> </v>
      </c>
      <c r="D52" s="92" t="str">
        <f>IF(A52="Totals",SUM(D14:$D$51),IF(A51="Totals"," ",IF(A51=" "," ",C52*($B$11/100))))</f>
        <v xml:space="preserve"> </v>
      </c>
      <c r="E52" s="92" t="str">
        <f>IF(A52=" "," ",(IF(A52="Totals",SUM(E$14:$E51),FV($D$11/100,$D$8-A52,0,-D52,0))))</f>
        <v xml:space="preserve"> </v>
      </c>
    </row>
    <row r="53" spans="1:6" ht="15.75">
      <c r="A53" s="158" t="str">
        <f t="shared" si="3"/>
        <v xml:space="preserve"> </v>
      </c>
      <c r="B53" s="27" t="str">
        <f t="shared" si="4"/>
        <v xml:space="preserve"> </v>
      </c>
      <c r="C53" s="91" t="str">
        <f>IF(A53="Totals",SUM(C14:$C$52),IF(A52="Totals"," ",IF(A52=" "," ",+B53*($D$5/100))))</f>
        <v xml:space="preserve"> </v>
      </c>
      <c r="D53" s="92" t="str">
        <f>IF(A53="Totals",SUM(D14:$D$52),IF(A52="Totals"," ",IF(A52=" "," ",C53*($B$11/100))))</f>
        <v xml:space="preserve"> </v>
      </c>
      <c r="E53" s="92" t="str">
        <f>IF(A53=" "," ",(IF(A53="Totals",SUM(E$14:$E52),FV($D$11/100,$D$8-A53,0,-D53,0))))</f>
        <v xml:space="preserve"> </v>
      </c>
    </row>
    <row r="54" spans="1:6" ht="15.75">
      <c r="A54" s="158" t="str">
        <f t="shared" si="3"/>
        <v xml:space="preserve"> </v>
      </c>
      <c r="B54" s="27" t="str">
        <f t="shared" si="4"/>
        <v xml:space="preserve"> </v>
      </c>
      <c r="C54" s="91" t="str">
        <f>IF(A54="Totals",SUM(C14:$C$53),IF(A53="Totals"," ",IF(A53=" "," ",+B54*($D$5/100))))</f>
        <v xml:space="preserve"> </v>
      </c>
      <c r="D54" s="92" t="str">
        <f>IF(A54="Totals",SUM(D14:$D$53),IF(A53="Totals"," ",IF(A53=" "," ",C54*($B$11/100))))</f>
        <v xml:space="preserve"> </v>
      </c>
      <c r="E54" s="92" t="str">
        <f>IF(A54=" "," ",(IF(A54="Totals",SUM(E$14:$E53),FV($D$11/100,$D$8-A54,0,-D54,0))))</f>
        <v xml:space="preserve"> </v>
      </c>
    </row>
    <row r="55" spans="1:6" ht="15.75">
      <c r="A55" s="158" t="str">
        <f t="shared" si="3"/>
        <v xml:space="preserve"> </v>
      </c>
      <c r="B55" s="27" t="str">
        <f t="shared" si="4"/>
        <v xml:space="preserve"> </v>
      </c>
      <c r="C55" s="91" t="str">
        <f>IF(A55="Totals",SUM(C14:$C$54),IF(A54="Totals"," ",IF(A54=" "," ",+B55*($D$5/100))))</f>
        <v xml:space="preserve"> </v>
      </c>
      <c r="D55" s="92" t="str">
        <f>IF(A55="Totals",SUM(D14:$D$54),IF(A54="Totals"," ",IF(A54=" "," ",C55*($B$11/100))))</f>
        <v xml:space="preserve"> </v>
      </c>
      <c r="E55" s="92" t="str">
        <f>IF(A55=" "," ",(IF(A55="Totals",SUM(E$14:$E54),FV($D$11/100,$D$8-A55,0,-D55,0))))</f>
        <v xml:space="preserve"> </v>
      </c>
    </row>
    <row r="56" spans="1:6" ht="15.75">
      <c r="A56" s="158" t="str">
        <f t="shared" si="3"/>
        <v xml:space="preserve"> </v>
      </c>
      <c r="B56" s="27" t="str">
        <f t="shared" si="4"/>
        <v xml:space="preserve"> </v>
      </c>
      <c r="C56" s="91" t="str">
        <f>IF(A56="Totals",SUM(C14:$C$55),IF(A55="Totals"," ",IF(A55=" "," ",+B56*($D$5/100))))</f>
        <v xml:space="preserve"> </v>
      </c>
      <c r="D56" s="92" t="str">
        <f>IF(A56="Totals",SUM(D14:$D$55),IF(A55="Totals"," ",IF(A55=" "," ",C56*($B$11/100))))</f>
        <v xml:space="preserve"> </v>
      </c>
      <c r="E56" s="92" t="str">
        <f>IF(A56=" "," ",(IF(A56="Totals",SUM(E$14:$E55),FV($D$11/100,$D$8-A56,0,-D56,0))))</f>
        <v xml:space="preserve"> </v>
      </c>
    </row>
    <row r="57" spans="1:6" ht="15.75">
      <c r="A57" s="158" t="str">
        <f t="shared" si="3"/>
        <v xml:space="preserve"> </v>
      </c>
      <c r="B57" s="27" t="str">
        <f t="shared" si="4"/>
        <v xml:space="preserve"> </v>
      </c>
      <c r="C57" s="91" t="str">
        <f>IF(A57="Totals",SUM(C14:$C$56),IF(A56="Totals"," ",IF(A56=" "," ",+B57*($D$5/100))))</f>
        <v xml:space="preserve"> </v>
      </c>
      <c r="D57" s="92" t="str">
        <f>IF(A57="Totals",SUM(D14:$D$56),IF(A56="Totals"," ",IF(A56=" "," ",C57*($B$11/100))))</f>
        <v xml:space="preserve"> </v>
      </c>
      <c r="E57" s="92" t="str">
        <f>IF(A57=" "," ",(IF(A57="Totals",SUM(E$14:$E56),FV($D$11/100,$D$8-A57,0,-D57,0))))</f>
        <v xml:space="preserve"> </v>
      </c>
    </row>
    <row r="58" spans="1:6" ht="15.75">
      <c r="A58" s="158" t="str">
        <f t="shared" si="3"/>
        <v xml:space="preserve"> </v>
      </c>
      <c r="B58" s="27" t="str">
        <f t="shared" si="4"/>
        <v xml:space="preserve"> </v>
      </c>
      <c r="C58" s="91" t="str">
        <f>IF(A58="Totals",SUM(C14:$C$57),IF(A57="Totals"," ",IF(A57=" "," ",+B58*($D$5/100))))</f>
        <v xml:space="preserve"> </v>
      </c>
      <c r="D58" s="92" t="str">
        <f>IF(A58="Totals",SUM(D14:$D$57),IF(A57="Totals"," ",IF(A57=" "," ",C58*($B$11/100))))</f>
        <v xml:space="preserve"> </v>
      </c>
      <c r="E58" s="92" t="str">
        <f>IF(A58=" "," ",(IF(A58="Totals",SUM(E$14:$E57),FV($D$11/100,$D$8-A58,0,-D58,0))))</f>
        <v xml:space="preserve"> </v>
      </c>
    </row>
    <row r="59" spans="1:6" ht="15.75">
      <c r="A59" s="158" t="str">
        <f t="shared" si="3"/>
        <v xml:space="preserve"> </v>
      </c>
      <c r="B59" s="27" t="str">
        <f t="shared" si="4"/>
        <v xml:space="preserve"> </v>
      </c>
      <c r="C59" s="91" t="str">
        <f>IF(A59="Totals",SUM(C14:$C$58),IF(A58="Totals"," ",IF(A58=" "," ",+B59*($D$5/100))))</f>
        <v xml:space="preserve"> </v>
      </c>
      <c r="D59" s="92" t="str">
        <f>IF(A59="Totals",SUM(D14:$D$58),IF(A58="Totals"," ",IF(A58=" "," ",C59*($B$11/100))))</f>
        <v xml:space="preserve"> </v>
      </c>
      <c r="E59" s="92" t="str">
        <f>IF(A59=" "," ",(IF(A59="Totals",SUM(E$14:$E58),FV($D$11/100,$D$8-A59,0,-D59,0))))</f>
        <v xml:space="preserve"> </v>
      </c>
    </row>
    <row r="60" spans="1:6" ht="15.75">
      <c r="A60" s="158" t="str">
        <f t="shared" si="3"/>
        <v xml:space="preserve"> </v>
      </c>
      <c r="B60" s="27" t="str">
        <f t="shared" si="4"/>
        <v xml:space="preserve"> </v>
      </c>
      <c r="C60" s="91" t="str">
        <f>IF(A60="Totals",SUM(C14:$C$59),IF(A59="Totals"," ",IF(A59=" "," ",+B60*($D$5/100))))</f>
        <v xml:space="preserve"> </v>
      </c>
      <c r="D60" s="92" t="str">
        <f>IF(A60="Totals",SUM(D14:$D$59),IF(A59="Totals"," ",IF(A59=" "," ",C60*($B$11/100))))</f>
        <v xml:space="preserve"> </v>
      </c>
      <c r="E60" s="92" t="str">
        <f>IF(A60=" "," ",(IF(A60="Totals",SUM(E$14:$E59),FV($D$11/100,$D$8-A60,0,-D60,0))))</f>
        <v xml:space="preserve"> </v>
      </c>
    </row>
    <row r="61" spans="1:6" ht="15.75">
      <c r="A61" s="163" t="str">
        <f t="shared" si="3"/>
        <v xml:space="preserve"> </v>
      </c>
      <c r="B61" s="27" t="str">
        <f t="shared" si="4"/>
        <v xml:space="preserve"> </v>
      </c>
      <c r="C61" s="91" t="str">
        <f>IF(A61="Totals",SUM(C14:$C$60),IF(A60="Totals"," ",IF(A60=" "," ",+B61*($D$5/100))))</f>
        <v xml:space="preserve"> </v>
      </c>
      <c r="D61" s="92" t="str">
        <f>IF(A61="Totals",SUM(D14:$D$60),IF(A60="Totals"," ",IF(A60=" "," ",C61*($B$11/100))))</f>
        <v xml:space="preserve"> </v>
      </c>
      <c r="E61" s="92" t="str">
        <f>IF(A61=" "," ",(IF(A61="Totals",SUM(E$14:$E60),FV($D$11/100,$D$8-A61,0,-D61,0))))</f>
        <v xml:space="preserve"> </v>
      </c>
    </row>
    <row r="62" spans="1:6" ht="15.75">
      <c r="A62" s="163" t="str">
        <f t="shared" si="3"/>
        <v xml:space="preserve"> </v>
      </c>
      <c r="B62" s="27" t="str">
        <f t="shared" si="4"/>
        <v xml:space="preserve"> </v>
      </c>
      <c r="C62" s="91" t="str">
        <f>IF(A62="Totals",SUM(C14:$C$61),IF(A61="Totals"," ",IF(A61=" "," ",+B62*($D$5/100))))</f>
        <v xml:space="preserve"> </v>
      </c>
      <c r="D62" s="92" t="str">
        <f>IF(A62="Totals",SUM(D14:$D$61),IF(A61="Totals"," ",IF(A61=" "," ",C62*($B$11/100))))</f>
        <v xml:space="preserve"> </v>
      </c>
      <c r="E62" s="92" t="str">
        <f>IF(A62=" "," ",(IF(A62="Totals",SUM(E$14:$E61),FV($D$11/100,$D$8-A62,0,-D62,0))))</f>
        <v xml:space="preserve"> </v>
      </c>
    </row>
    <row r="63" spans="1:6" ht="15.75">
      <c r="A63" s="163" t="str">
        <f t="shared" si="3"/>
        <v xml:space="preserve"> </v>
      </c>
      <c r="B63" s="27" t="str">
        <f t="shared" si="4"/>
        <v xml:space="preserve"> </v>
      </c>
      <c r="C63" s="91" t="str">
        <f>IF(A63="Totals",SUM(C14:$C$62),IF(A62="Totals"," ",IF(A62=" "," ",+B63*($D$5/100))))</f>
        <v xml:space="preserve"> </v>
      </c>
      <c r="D63" s="92" t="str">
        <f>IF(A63="Totals",SUM(D14:$D$62),IF(A62="Totals"," ",IF(A62=" "," ",C63*($B$11/100))))</f>
        <v xml:space="preserve"> </v>
      </c>
      <c r="E63" s="92" t="str">
        <f>IF(A63=" "," ",(IF(A63="Totals",SUM(E$14:$E62),FV($D$11/100,$D$8-A63,0,-D63,0))))</f>
        <v xml:space="preserve"> </v>
      </c>
    </row>
    <row r="64" spans="1:6" ht="15.75">
      <c r="A64" s="163" t="str">
        <f t="shared" si="3"/>
        <v xml:space="preserve"> </v>
      </c>
      <c r="B64" s="27" t="str">
        <f>IF(+A64="Totals",+B63+C63,IF(+A63="Totals"," ",IF(+A63=" "," ",+B63+C63+$B$8)))</f>
        <v xml:space="preserve"> </v>
      </c>
      <c r="C64" s="91" t="str">
        <f>IF(A64="Totals",SUM(C14:$C$63),IF(A63="Totals"," ",IF(A63=" "," ",+B64*($D$5/100))))</f>
        <v xml:space="preserve"> </v>
      </c>
      <c r="D64" s="92" t="str">
        <f>IF(A64="Totals",SUM(D14:$D$63),IF(A63="Totals"," ",IF(A63=" "," ",C64*($B$11/100))))</f>
        <v xml:space="preserve"> </v>
      </c>
      <c r="E64" s="92" t="str">
        <f>IF(A64=" "," ",(IF(A64="Totals",SUM(E$14:$E63),FV($D$11/100,$D$8-A64,0,-D64,0))))</f>
        <v xml:space="preserve"> </v>
      </c>
      <c r="F64" s="16"/>
    </row>
    <row r="65" spans="1:5">
      <c r="A65" s="164"/>
      <c r="C65" s="28"/>
      <c r="D65" s="28"/>
      <c r="E65" s="28"/>
    </row>
    <row r="66" spans="1:5">
      <c r="A66" s="164"/>
      <c r="E66" s="28"/>
    </row>
    <row r="67" spans="1:5">
      <c r="A67" s="164"/>
      <c r="B67" s="16"/>
      <c r="E67" s="28"/>
    </row>
    <row r="68" spans="1:5">
      <c r="A68" s="164"/>
      <c r="E68" s="28"/>
    </row>
    <row r="69" spans="1:5">
      <c r="A69" s="164"/>
      <c r="E69" s="28"/>
    </row>
    <row r="70" spans="1:5">
      <c r="A70" s="164"/>
      <c r="E70" s="28"/>
    </row>
    <row r="71" spans="1:5">
      <c r="A71" s="164"/>
      <c r="E71" s="28"/>
    </row>
    <row r="72" spans="1:5">
      <c r="A72" s="164"/>
      <c r="E72" s="28"/>
    </row>
    <row r="73" spans="1:5">
      <c r="A73" s="164"/>
      <c r="E73" s="28"/>
    </row>
    <row r="74" spans="1:5">
      <c r="A74" s="164"/>
      <c r="E74" s="28"/>
    </row>
    <row r="75" spans="1:5">
      <c r="A75" s="164"/>
      <c r="E75" s="28"/>
    </row>
    <row r="76" spans="1:5">
      <c r="A76" s="164"/>
      <c r="E76" s="28"/>
    </row>
    <row r="77" spans="1:5">
      <c r="A77" s="164"/>
    </row>
    <row r="78" spans="1:5">
      <c r="A78" s="164"/>
    </row>
    <row r="79" spans="1:5">
      <c r="A79" s="164"/>
    </row>
    <row r="80" spans="1:5">
      <c r="A80" s="164"/>
    </row>
    <row r="81" spans="1:1">
      <c r="A81" s="164"/>
    </row>
  </sheetData>
  <phoneticPr fontId="0" type="noConversion"/>
  <printOptions horizontalCentered="1"/>
  <pageMargins left="0.5" right="0.5" top="0.5" bottom="0.5" header="0.5" footer="0.5"/>
  <pageSetup scale="80" orientation="portrait" r:id="rId1"/>
  <headerFooter alignWithMargins="0">
    <oddFooter>&amp;L&amp;8&amp;D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V66"/>
  <sheetViews>
    <sheetView defaultGridColor="0" colorId="23" zoomScale="77" workbookViewId="0">
      <selection activeCell="M3" sqref="M3"/>
    </sheetView>
  </sheetViews>
  <sheetFormatPr defaultColWidth="9.77734375" defaultRowHeight="15.75"/>
  <cols>
    <col min="1" max="1" width="5.77734375" style="73" customWidth="1"/>
    <col min="4" max="4" width="8.77734375" customWidth="1"/>
    <col min="5" max="5" width="9.44140625" customWidth="1"/>
    <col min="7" max="7" width="8.77734375" customWidth="1"/>
  </cols>
  <sheetData>
    <row r="1" spans="1:256" ht="40.5">
      <c r="A1" s="171" t="s">
        <v>73</v>
      </c>
      <c r="B1" s="172"/>
      <c r="C1" s="172"/>
      <c r="D1" s="172"/>
      <c r="E1" s="172"/>
      <c r="F1" s="147"/>
      <c r="G1" s="147"/>
      <c r="H1" s="147"/>
      <c r="I1" s="147"/>
      <c r="J1" s="147"/>
    </row>
    <row r="2" spans="1:256">
      <c r="B2" s="1"/>
      <c r="C2" s="74"/>
    </row>
    <row r="3" spans="1:256">
      <c r="A3" s="77"/>
      <c r="B3" s="78"/>
      <c r="C3" s="137" t="s">
        <v>2</v>
      </c>
      <c r="D3" s="78"/>
      <c r="E3" s="137" t="s">
        <v>4</v>
      </c>
      <c r="F3" s="78"/>
      <c r="G3" s="137" t="s">
        <v>23</v>
      </c>
      <c r="H3" s="78"/>
      <c r="I3" s="78" t="s">
        <v>76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>
      <c r="A4" s="77"/>
      <c r="B4" s="78"/>
      <c r="C4" s="79">
        <v>144000</v>
      </c>
      <c r="D4" s="78"/>
      <c r="E4" s="79">
        <f>'Compound Inv.'!E4</f>
        <v>0</v>
      </c>
      <c r="F4" s="78"/>
      <c r="G4" s="12">
        <v>25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>
      <c r="B5" s="1"/>
      <c r="C5" s="12"/>
    </row>
    <row r="6" spans="1:256">
      <c r="A6" s="80"/>
      <c r="B6" s="78"/>
      <c r="C6" s="138" t="s">
        <v>60</v>
      </c>
      <c r="D6" s="78"/>
      <c r="E6" s="138" t="s">
        <v>61</v>
      </c>
      <c r="F6" s="78"/>
      <c r="G6" s="138" t="s">
        <v>62</v>
      </c>
      <c r="H6" s="81"/>
      <c r="I6" s="81"/>
      <c r="J6" s="81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pans="1:256">
      <c r="A7" s="77"/>
      <c r="B7" s="78"/>
      <c r="C7" s="137" t="s">
        <v>3</v>
      </c>
      <c r="D7" s="78"/>
      <c r="E7" s="137" t="s">
        <v>3</v>
      </c>
      <c r="F7" s="78"/>
      <c r="G7" s="137" t="s">
        <v>3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>
      <c r="A8" s="77"/>
      <c r="B8" s="78"/>
      <c r="C8" s="82">
        <v>3</v>
      </c>
      <c r="D8" s="78"/>
      <c r="E8" s="82">
        <v>3</v>
      </c>
      <c r="F8" s="78"/>
      <c r="G8" s="82">
        <v>4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10" spans="1:256">
      <c r="A10" s="77"/>
      <c r="B10" s="78"/>
      <c r="C10" s="137" t="s">
        <v>63</v>
      </c>
      <c r="D10" s="78"/>
      <c r="E10" s="137" t="s">
        <v>64</v>
      </c>
      <c r="F10" s="78"/>
      <c r="G10" s="137" t="s">
        <v>7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>
      <c r="A11" s="77"/>
      <c r="B11" s="78"/>
      <c r="C11" s="83">
        <v>35</v>
      </c>
      <c r="D11" s="78"/>
      <c r="E11" s="83">
        <f>'Compound Inv.'!E11</f>
        <v>20</v>
      </c>
      <c r="F11" s="78"/>
      <c r="G11" s="83">
        <f>'Compound Inv.'!G11</f>
        <v>6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3" spans="1:256">
      <c r="B13" s="1"/>
      <c r="C13" s="1"/>
      <c r="D13" s="1"/>
      <c r="E13" s="84" t="s">
        <v>65</v>
      </c>
      <c r="F13" s="84" t="s">
        <v>65</v>
      </c>
      <c r="G13" s="84" t="s">
        <v>66</v>
      </c>
      <c r="H13" s="84" t="s">
        <v>66</v>
      </c>
    </row>
    <row r="14" spans="1:256" ht="15">
      <c r="A14" s="85" t="s">
        <v>20</v>
      </c>
      <c r="B14" s="85" t="s">
        <v>36</v>
      </c>
      <c r="C14" s="85" t="s">
        <v>67</v>
      </c>
      <c r="D14" s="85" t="s">
        <v>60</v>
      </c>
      <c r="E14" s="85" t="s">
        <v>74</v>
      </c>
      <c r="F14" s="85" t="s">
        <v>69</v>
      </c>
      <c r="G14" s="85" t="s">
        <v>70</v>
      </c>
      <c r="H14" s="85" t="s">
        <v>75</v>
      </c>
      <c r="I14" s="85" t="s">
        <v>72</v>
      </c>
      <c r="J14" s="85" t="s">
        <v>12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>
      <c r="A15" s="77">
        <f>IF('Compound Inv.'!$G$4=" "," ",1)</f>
        <v>1</v>
      </c>
      <c r="B15" s="93">
        <f>IF(+C4=" "," ",$C$4)</f>
        <v>144000</v>
      </c>
      <c r="C15" s="93">
        <f>IF(A15=" "," ",$E$4)</f>
        <v>0</v>
      </c>
      <c r="D15" s="94">
        <f>IF($C$8=" "," ",(+$B15+$C15)*($C$8/100))</f>
        <v>4320</v>
      </c>
      <c r="E15" s="94">
        <f>IF($E$8=" "," ",(+$B15+$C15)*($E$8/100))</f>
        <v>4320</v>
      </c>
      <c r="F15" s="94">
        <f>IF($G$8=" "," ",(+$B15+$C15)*($G$8/100))</f>
        <v>5760</v>
      </c>
      <c r="G15" s="95">
        <f>IF($C$11=" "," ",+$D15*($C$11/100))</f>
        <v>1512</v>
      </c>
      <c r="H15" s="95">
        <f>IF($E$15=" "," ",$E15*($E$11/100))</f>
        <v>864</v>
      </c>
      <c r="I15" s="95">
        <f>IF($G$4=" "," ",SUM(G15:H15))</f>
        <v>2376</v>
      </c>
      <c r="J15" s="95">
        <f>IF($G$11=" "," ",+FV($G$11/100,$G$4-A15,0,-I15))</f>
        <v>9620.2687076514412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>
      <c r="A16" s="77">
        <f>IF($A15="Totals"," ",IF(A15=" "," ",IF($A15='Compound Inv.'!$G$4,"Totals",$A15+1)))</f>
        <v>2</v>
      </c>
      <c r="B16" s="93">
        <f t="shared" ref="B16:B47" si="0">IF($A16="Totals",B15+F15,IF($A16=" "," ",B15+F15))</f>
        <v>149760</v>
      </c>
      <c r="C16" s="93">
        <f>IF($A16="Totals",SUM(C$14:C15),IF($A16=" "," ",$E$4))</f>
        <v>0</v>
      </c>
      <c r="D16" s="94">
        <f>IF($A16="Totals",SUM(D$14:D15),IF($A16=" "," ",$D15))</f>
        <v>4320</v>
      </c>
      <c r="E16" s="94">
        <f>IF($A16="Totals",SUM(E$14:E15),IF($A16=" "," ",$E15))</f>
        <v>4320</v>
      </c>
      <c r="F16" s="94">
        <f>IF($A16="Totals",SUM(F$14:F15),IF($A16=" "," ",($B16+$C16)*($G$8/100)))</f>
        <v>5990.4000000000005</v>
      </c>
      <c r="G16" s="95">
        <f>IF($A16="Totals",SUM(G$14:G15),IF($A16=" "," ",D16*($C$11/100)))</f>
        <v>1512</v>
      </c>
      <c r="H16" s="95">
        <f>IF($A16="Totals",SUM(H$14:H15),IF($A16=" "," ",E16*($E$11/100)))</f>
        <v>864</v>
      </c>
      <c r="I16" s="95">
        <f>IF($A16="Totals",SUM(I$14:I15),IF($A16=" "," ",SUM(G16:H16)))</f>
        <v>2376</v>
      </c>
      <c r="J16" s="95">
        <f>IF($A16="Totals",SUM(J$14:J15),IF($A16=" "," ",FV($G$11/100,$G$4-A16,0,-I16)))</f>
        <v>9075.7251958975885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>
      <c r="A17" s="77">
        <f>IF($A16="Totals"," ",IF(A16=" "," ",IF($A16='Compound Inv.'!$G$4,"Totals",$A16+1)))</f>
        <v>3</v>
      </c>
      <c r="B17" s="93">
        <f t="shared" si="0"/>
        <v>155750.39999999999</v>
      </c>
      <c r="C17" s="93">
        <f>IF($A17="Totals",SUM(C$14:C16),IF($A17=" "," ",$E$4))</f>
        <v>0</v>
      </c>
      <c r="D17" s="94">
        <f>IF($A17="Totals",SUM(D$14:D16),IF($A17=" "," ",$D16))</f>
        <v>4320</v>
      </c>
      <c r="E17" s="94">
        <f>IF($A17="Totals",SUM(E$14:E16),IF($A17=" "," ",$E16))</f>
        <v>4320</v>
      </c>
      <c r="F17" s="94">
        <f>IF($A17="Totals",SUM(F$14:F16),IF($A17=" "," ",($B17+$C17)*($G$8/100)))</f>
        <v>6230.0159999999996</v>
      </c>
      <c r="G17" s="95">
        <f>IF($A17="Totals",SUM(G$14:G16),IF($A17=" "," ",D17*($C$11/100)))</f>
        <v>1512</v>
      </c>
      <c r="H17" s="95">
        <f>IF($A17="Totals",SUM(H$14:H16),IF($A17=" "," ",E17*($E$11/100)))</f>
        <v>864</v>
      </c>
      <c r="I17" s="95">
        <f>IF($A17="Totals",SUM(I$14:I16),IF($A17=" "," ",SUM(G17:H17)))</f>
        <v>2376</v>
      </c>
      <c r="J17" s="95">
        <f>IF($A17="Totals",SUM(J$14:J16),IF($A17=" "," ",FV($G$11/100,$G$4-A17,0,-I17)))</f>
        <v>8562.0049017901765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>
      <c r="A18" s="77">
        <f>IF($A17="Totals"," ",IF(A17=" "," ",IF($A17='Compound Inv.'!$G$4,"Totals",$A17+1)))</f>
        <v>4</v>
      </c>
      <c r="B18" s="93">
        <f t="shared" si="0"/>
        <v>161980.416</v>
      </c>
      <c r="C18" s="93">
        <f>IF($A18="Totals",SUM(C$14:C17),IF($A18=" "," ",$E$4))</f>
        <v>0</v>
      </c>
      <c r="D18" s="94">
        <f>IF($A18="Totals",SUM(D$14:D17),IF($A18=" "," ",$D17))</f>
        <v>4320</v>
      </c>
      <c r="E18" s="94">
        <f>IF($A18="Totals",SUM(E$14:E17),IF($A18=" "," ",$E17))</f>
        <v>4320</v>
      </c>
      <c r="F18" s="94">
        <f>IF($A18="Totals",SUM(F$14:F17),IF($A18=" "," ",($B18+$C18)*($G$8/100)))</f>
        <v>6479.2166399999996</v>
      </c>
      <c r="G18" s="95">
        <f>IF($A18="Totals",SUM(G$14:G17),IF($A18=" "," ",D18*($C$11/100)))</f>
        <v>1512</v>
      </c>
      <c r="H18" s="95">
        <f>IF($A18="Totals",SUM(H$14:H17),IF($A18=" "," ",E18*($E$11/100)))</f>
        <v>864</v>
      </c>
      <c r="I18" s="95">
        <f>IF($A18="Totals",SUM(I$14:I17),IF($A18=" "," ",SUM(G18:H18)))</f>
        <v>2376</v>
      </c>
      <c r="J18" s="95">
        <f>IF($A18="Totals",SUM(J$14:J17),IF($A18=" "," ",FV($G$11/100,$G$4-A18,0,-I18)))</f>
        <v>8077.3631148963923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>
      <c r="A19" s="77">
        <f>IF($A18="Totals"," ",IF(A18=" "," ",IF($A18='Compound Inv.'!$G$4,"Totals",$A18+1)))</f>
        <v>5</v>
      </c>
      <c r="B19" s="93">
        <f t="shared" si="0"/>
        <v>168459.63264</v>
      </c>
      <c r="C19" s="93">
        <f>IF($A19="Totals",SUM(C$14:C18),IF($A19=" "," ",$E$4))</f>
        <v>0</v>
      </c>
      <c r="D19" s="94">
        <f>IF($A19="Totals",SUM(D$14:D18),IF($A19=" "," ",$D18))</f>
        <v>4320</v>
      </c>
      <c r="E19" s="94">
        <f>IF($A19="Totals",SUM(E$14:E18),IF($A19=" "," ",$E18))</f>
        <v>4320</v>
      </c>
      <c r="F19" s="94">
        <f>IF($A19="Totals",SUM(F$14:F18),IF($A19=" "," ",($B19+$C19)*($G$8/100)))</f>
        <v>6738.3853055999998</v>
      </c>
      <c r="G19" s="95">
        <f>IF($A19="Totals",SUM(G$14:G18),IF($A19=" "," ",D19*($C$11/100)))</f>
        <v>1512</v>
      </c>
      <c r="H19" s="95">
        <f>IF($A19="Totals",SUM(H$14:H18),IF($A19=" "," ",E19*($E$11/100)))</f>
        <v>864</v>
      </c>
      <c r="I19" s="95">
        <f>IF($A19="Totals",SUM(I$14:I18),IF($A19=" "," ",SUM(G19:H19)))</f>
        <v>2376</v>
      </c>
      <c r="J19" s="95">
        <f>IF($A19="Totals",SUM(J$14:J18),IF($A19=" "," ",FV($G$11/100,$G$4-A19,0,-I19)))</f>
        <v>7620.153881977727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>
      <c r="A20" s="77">
        <f>IF($A19="Totals"," ",IF(A19=" "," ",IF($A19='Compound Inv.'!$G$4,"Totals",$A19+1)))</f>
        <v>6</v>
      </c>
      <c r="B20" s="93">
        <f t="shared" si="0"/>
        <v>175198.0179456</v>
      </c>
      <c r="C20" s="93">
        <f>IF($A20="Totals",SUM(C$14:C19),IF($A20=" "," ",$E$4))</f>
        <v>0</v>
      </c>
      <c r="D20" s="94">
        <f>IF($A20="Totals",SUM(D$14:D19),IF($A20=" "," ",$D19))</f>
        <v>4320</v>
      </c>
      <c r="E20" s="94">
        <f>IF($A20="Totals",SUM(E$14:E19),IF($A20=" "," ",$E19))</f>
        <v>4320</v>
      </c>
      <c r="F20" s="94">
        <f>IF($A20="Totals",SUM(F$14:F19),IF($A20=" "," ",($B20+$C20)*($G$8/100)))</f>
        <v>7007.9207178240003</v>
      </c>
      <c r="G20" s="95">
        <f>IF($A20="Totals",SUM(G$14:G19),IF($A20=" "," ",D20*($C$11/100)))</f>
        <v>1512</v>
      </c>
      <c r="H20" s="95">
        <f>IF($A20="Totals",SUM(H$14:H19),IF($A20=" "," ",E20*($E$11/100)))</f>
        <v>864</v>
      </c>
      <c r="I20" s="95">
        <f>IF($A20="Totals",SUM(I$14:I19),IF($A20=" "," ",SUM(G20:H20)))</f>
        <v>2376</v>
      </c>
      <c r="J20" s="95">
        <f>IF($A20="Totals",SUM(J$14:J19),IF($A20=" "," ",FV($G$11/100,$G$4-A20,0,-I20)))</f>
        <v>7188.8244169601203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>
      <c r="A21" s="77">
        <f>IF($A20="Totals"," ",IF(A20=" "," ",IF($A20='Compound Inv.'!$G$4,"Totals",$A20+1)))</f>
        <v>7</v>
      </c>
      <c r="B21" s="93">
        <f t="shared" si="0"/>
        <v>182205.93866342399</v>
      </c>
      <c r="C21" s="93">
        <f>IF($A21="Totals",SUM(C$14:C20),IF($A21=" "," ",$E$4))</f>
        <v>0</v>
      </c>
      <c r="D21" s="94">
        <f>IF($A21="Totals",SUM(D$14:D20),IF($A21=" "," ",$D20))</f>
        <v>4320</v>
      </c>
      <c r="E21" s="94">
        <f>IF($A21="Totals",SUM(E$14:E20),IF($A21=" "," ",$E20))</f>
        <v>4320</v>
      </c>
      <c r="F21" s="94">
        <f>IF($A21="Totals",SUM(F$14:F20),IF($A21=" "," ",($B21+$C21)*($G$8/100)))</f>
        <v>7288.2375465369596</v>
      </c>
      <c r="G21" s="95">
        <f>IF($A21="Totals",SUM(G$14:G20),IF($A21=" "," ",D21*($C$11/100)))</f>
        <v>1512</v>
      </c>
      <c r="H21" s="95">
        <f>IF($A21="Totals",SUM(H$14:H20),IF($A21=" "," ",E21*($E$11/100)))</f>
        <v>864</v>
      </c>
      <c r="I21" s="95">
        <f>IF($A21="Totals",SUM(I$14:I20),IF($A21=" "," ",SUM(G21:H21)))</f>
        <v>2376</v>
      </c>
      <c r="J21" s="95">
        <f>IF($A21="Totals",SUM(J$14:J20),IF($A21=" "," ",FV($G$11/100,$G$4-A21,0,-I21)))</f>
        <v>6781.9098273208674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>
      <c r="A22" s="77">
        <f>IF($A21="Totals"," ",IF(A21=" "," ",IF($A21='Compound Inv.'!$G$4,"Totals",$A21+1)))</f>
        <v>8</v>
      </c>
      <c r="B22" s="93">
        <f t="shared" si="0"/>
        <v>189494.17620996095</v>
      </c>
      <c r="C22" s="93">
        <f>IF($A22="Totals",SUM(C$14:C21),IF($A22=" "," ",$E$4))</f>
        <v>0</v>
      </c>
      <c r="D22" s="94">
        <f>IF($A22="Totals",SUM(D$14:D21),IF($A22=" "," ",$D21))</f>
        <v>4320</v>
      </c>
      <c r="E22" s="94">
        <f>IF($A22="Totals",SUM(E$14:E21),IF($A22=" "," ",$E21))</f>
        <v>4320</v>
      </c>
      <c r="F22" s="94">
        <f>IF($A22="Totals",SUM(F$14:F21),IF($A22=" "," ",($B22+$C22)*($G$8/100)))</f>
        <v>7579.7670483984384</v>
      </c>
      <c r="G22" s="95">
        <f>IF($A22="Totals",SUM(G$14:G21),IF($A22=" "," ",D22*($C$11/100)))</f>
        <v>1512</v>
      </c>
      <c r="H22" s="95">
        <f>IF($A22="Totals",SUM(H$14:H21),IF($A22=" "," ",E22*($E$11/100)))</f>
        <v>864</v>
      </c>
      <c r="I22" s="95">
        <f>IF($A22="Totals",SUM(I$14:I21),IF($A22=" "," ",SUM(G22:H22)))</f>
        <v>2376</v>
      </c>
      <c r="J22" s="95">
        <f>IF($A22="Totals",SUM(J$14:J21),IF($A22=" "," ",FV($G$11/100,$G$4-A22,0,-I22)))</f>
        <v>6398.0281389819502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>
      <c r="A23" s="77">
        <f>IF($A22="Totals"," ",IF(A22=" "," ",IF($A22='Compound Inv.'!$G$4,"Totals",$A22+1)))</f>
        <v>9</v>
      </c>
      <c r="B23" s="93">
        <f t="shared" si="0"/>
        <v>197073.94325835939</v>
      </c>
      <c r="C23" s="93">
        <f>IF($A23="Totals",SUM(C$14:C22),IF($A23=" "," ",$E$4))</f>
        <v>0</v>
      </c>
      <c r="D23" s="94">
        <f>IF($A23="Totals",SUM(D$14:D22),IF($A23=" "," ",$D22))</f>
        <v>4320</v>
      </c>
      <c r="E23" s="94">
        <f>IF($A23="Totals",SUM(E$14:E22),IF($A23=" "," ",$E22))</f>
        <v>4320</v>
      </c>
      <c r="F23" s="94">
        <f>IF($A23="Totals",SUM(F$14:F22),IF($A23=" "," ",($B23+$C23)*($G$8/100)))</f>
        <v>7882.9577303343758</v>
      </c>
      <c r="G23" s="95">
        <f>IF($A23="Totals",SUM(G$14:G22),IF($A23=" "," ",D23*($C$11/100)))</f>
        <v>1512</v>
      </c>
      <c r="H23" s="95">
        <f>IF($A23="Totals",SUM(H$14:H22),IF($A23=" "," ",E23*($E$11/100)))</f>
        <v>864</v>
      </c>
      <c r="I23" s="95">
        <f>IF($A23="Totals",SUM(I$14:I22),IF($A23=" "," ",SUM(G23:H23)))</f>
        <v>2376</v>
      </c>
      <c r="J23" s="95">
        <f>IF($A23="Totals",SUM(J$14:J22),IF($A23=" "," ",FV($G$11/100,$G$4-A23,0,-I23)))</f>
        <v>6035.8756028131602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>
      <c r="A24" s="77">
        <f>IF($A23="Totals"," ",IF(A23=" "," ",IF($A23='Compound Inv.'!$G$4,"Totals",$A23+1)))</f>
        <v>10</v>
      </c>
      <c r="B24" s="93">
        <f t="shared" si="0"/>
        <v>204956.90098869376</v>
      </c>
      <c r="C24" s="93">
        <f>IF($A24="Totals",SUM(C$14:C23),IF($A24=" "," ",$E$4))</f>
        <v>0</v>
      </c>
      <c r="D24" s="94">
        <f>IF($A24="Totals",SUM(D$14:D23),IF($A24=" "," ",$D23))</f>
        <v>4320</v>
      </c>
      <c r="E24" s="94">
        <f>IF($A24="Totals",SUM(E$14:E23),IF($A24=" "," ",$E23))</f>
        <v>4320</v>
      </c>
      <c r="F24" s="94">
        <f>IF($A24="Totals",SUM(F$14:F23),IF($A24=" "," ",($B24+$C24)*($G$8/100)))</f>
        <v>8198.2760395477508</v>
      </c>
      <c r="G24" s="95">
        <f>IF($A24="Totals",SUM(G$14:G23),IF($A24=" "," ",D24*($C$11/100)))</f>
        <v>1512</v>
      </c>
      <c r="H24" s="95">
        <f>IF($A24="Totals",SUM(H$14:H23),IF($A24=" "," ",E24*($E$11/100)))</f>
        <v>864</v>
      </c>
      <c r="I24" s="95">
        <f>IF($A24="Totals",SUM(I$14:I23),IF($A24=" "," ",SUM(G24:H24)))</f>
        <v>2376</v>
      </c>
      <c r="J24" s="95">
        <f>IF($A24="Totals",SUM(J$14:J23),IF($A24=" "," ",FV($G$11/100,$G$4-A24,0,-I24)))</f>
        <v>5694.2222668048689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>
      <c r="A25" s="77">
        <f>IF($A24="Totals"," ",IF(A24=" "," ",IF($A24='Compound Inv.'!$G$4,"Totals",$A24+1)))</f>
        <v>11</v>
      </c>
      <c r="B25" s="93">
        <f t="shared" si="0"/>
        <v>213155.17702824151</v>
      </c>
      <c r="C25" s="93">
        <f>IF($A25="Totals",SUM(C$14:C24),IF($A25=" "," ",$E$4))</f>
        <v>0</v>
      </c>
      <c r="D25" s="94">
        <f>IF($A25="Totals",SUM(D$14:D24),IF($A25=" "," ",$D24))</f>
        <v>4320</v>
      </c>
      <c r="E25" s="94">
        <f>IF($A25="Totals",SUM(E$14:E24),IF($A25=" "," ",$E24))</f>
        <v>4320</v>
      </c>
      <c r="F25" s="94">
        <f>IF($A25="Totals",SUM(F$14:F24),IF($A25=" "," ",($B25+$C25)*($G$8/100)))</f>
        <v>8526.2070811296599</v>
      </c>
      <c r="G25" s="95">
        <f>IF($A25="Totals",SUM(G$14:G24),IF($A25=" "," ",D25*($C$11/100)))</f>
        <v>1512</v>
      </c>
      <c r="H25" s="95">
        <f>IF($A25="Totals",SUM(H$14:H24),IF($A25=" "," ",E25*($E$11/100)))</f>
        <v>864</v>
      </c>
      <c r="I25" s="95">
        <f>IF($A25="Totals",SUM(I$14:I24),IF($A25=" "," ",SUM(G25:H25)))</f>
        <v>2376</v>
      </c>
      <c r="J25" s="95">
        <f>IF($A25="Totals",SUM(J$14:J24),IF($A25=" "," ",FV($G$11/100,$G$4-A25,0,-I25)))</f>
        <v>5371.9077988725167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>
      <c r="A26" s="77">
        <f>IF($A25="Totals"," ",IF(A25=" "," ",IF($A25='Compound Inv.'!$G$4,"Totals",$A25+1)))</f>
        <v>12</v>
      </c>
      <c r="B26" s="93">
        <f t="shared" si="0"/>
        <v>221681.38410937117</v>
      </c>
      <c r="C26" s="93">
        <f>IF($A26="Totals",SUM(C$14:C25),IF($A26=" "," ",$E$4))</f>
        <v>0</v>
      </c>
      <c r="D26" s="94">
        <f>IF($A26="Totals",SUM(D$14:D25),IF($A26=" "," ",$D25))</f>
        <v>4320</v>
      </c>
      <c r="E26" s="94">
        <f>IF($A26="Totals",SUM(E$14:E25),IF($A26=" "," ",$E25))</f>
        <v>4320</v>
      </c>
      <c r="F26" s="94">
        <f>IF($A26="Totals",SUM(F$14:F25),IF($A26=" "," ",($B26+$C26)*($G$8/100)))</f>
        <v>8867.255364374847</v>
      </c>
      <c r="G26" s="95">
        <f>IF($A26="Totals",SUM(G$14:G25),IF($A26=" "," ",D26*($C$11/100)))</f>
        <v>1512</v>
      </c>
      <c r="H26" s="95">
        <f>IF($A26="Totals",SUM(H$14:H25),IF($A26=" "," ",E26*($E$11/100)))</f>
        <v>864</v>
      </c>
      <c r="I26" s="95">
        <f>IF($A26="Totals",SUM(I$14:I25),IF($A26=" "," ",SUM(G26:H26)))</f>
        <v>2376</v>
      </c>
      <c r="J26" s="95">
        <f>IF($A26="Totals",SUM(J$14:J25),IF($A26=" "," ",FV($G$11/100,$G$4-A26,0,-I26)))</f>
        <v>5067.8375461061478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>
      <c r="A27" s="77">
        <f>IF($A26="Totals"," ",IF(A26=" "," ",IF($A26='Compound Inv.'!$G$4,"Totals",$A26+1)))</f>
        <v>13</v>
      </c>
      <c r="B27" s="93">
        <f t="shared" si="0"/>
        <v>230548.63947374601</v>
      </c>
      <c r="C27" s="93">
        <f>IF($A27="Totals",SUM(C$14:C26),IF($A27=" "," ",$E$4))</f>
        <v>0</v>
      </c>
      <c r="D27" s="94">
        <f>IF($A27="Totals",SUM(D$14:D26),IF($A27=" "," ",$D26))</f>
        <v>4320</v>
      </c>
      <c r="E27" s="94">
        <f>IF($A27="Totals",SUM(E$14:E26),IF($A27=" "," ",$E26))</f>
        <v>4320</v>
      </c>
      <c r="F27" s="94">
        <f>IF($A27="Totals",SUM(F$14:F26),IF($A27=" "," ",($B27+$C27)*($G$8/100)))</f>
        <v>9221.9455789498406</v>
      </c>
      <c r="G27" s="95">
        <f>IF($A27="Totals",SUM(G$14:G26),IF($A27=" "," ",D27*($C$11/100)))</f>
        <v>1512</v>
      </c>
      <c r="H27" s="95">
        <f>IF($A27="Totals",SUM(H$14:H26),IF($A27=" "," ",E27*($E$11/100)))</f>
        <v>864</v>
      </c>
      <c r="I27" s="95">
        <f>IF($A27="Totals",SUM(I$14:I26),IF($A27=" "," ",SUM(G27:H27)))</f>
        <v>2376</v>
      </c>
      <c r="J27" s="95">
        <f>IF($A27="Totals",SUM(J$14:J26),IF($A27=" "," ",FV($G$11/100,$G$4-A27,0,-I27)))</f>
        <v>4780.9788170812708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>
      <c r="A28" s="77">
        <f>IF($A27="Totals"," ",IF(A27=" "," ",IF($A27='Compound Inv.'!$G$4,"Totals",$A27+1)))</f>
        <v>14</v>
      </c>
      <c r="B28" s="93">
        <f t="shared" si="0"/>
        <v>239770.58505269585</v>
      </c>
      <c r="C28" s="93">
        <f>IF($A28="Totals",SUM(C$14:C27),IF($A28=" "," ",$E$4))</f>
        <v>0</v>
      </c>
      <c r="D28" s="94">
        <f>IF($A28="Totals",SUM(D$14:D27),IF($A28=" "," ",$D27))</f>
        <v>4320</v>
      </c>
      <c r="E28" s="94">
        <f>IF($A28="Totals",SUM(E$14:E27),IF($A28=" "," ",$E27))</f>
        <v>4320</v>
      </c>
      <c r="F28" s="94">
        <f>IF($A28="Totals",SUM(F$14:F27),IF($A28=" "," ",($B28+$C28)*($G$8/100)))</f>
        <v>9590.8234021078351</v>
      </c>
      <c r="G28" s="95">
        <f>IF($A28="Totals",SUM(G$14:G27),IF($A28=" "," ",D28*($C$11/100)))</f>
        <v>1512</v>
      </c>
      <c r="H28" s="95">
        <f>IF($A28="Totals",SUM(H$14:H27),IF($A28=" "," ",E28*($E$11/100)))</f>
        <v>864</v>
      </c>
      <c r="I28" s="95">
        <f>IF($A28="Totals",SUM(I$14:I27),IF($A28=" "," ",SUM(G28:H28)))</f>
        <v>2376</v>
      </c>
      <c r="J28" s="95">
        <f>IF($A28="Totals",SUM(J$14:J27),IF($A28=" "," ",FV($G$11/100,$G$4-A28,0,-I28)))</f>
        <v>4510.3573746049724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>
      <c r="A29" s="77">
        <f>IF($A28="Totals"," ",IF(A28=" "," ",IF($A28='Compound Inv.'!$G$4,"Totals",$A28+1)))</f>
        <v>15</v>
      </c>
      <c r="B29" s="93">
        <f t="shared" si="0"/>
        <v>249361.40845480369</v>
      </c>
      <c r="C29" s="93">
        <f>IF($A29="Totals",SUM(C$14:C28),IF($A29=" "," ",$E$4))</f>
        <v>0</v>
      </c>
      <c r="D29" s="94">
        <f>IF($A29="Totals",SUM(D$14:D28),IF($A29=" "," ",$D28))</f>
        <v>4320</v>
      </c>
      <c r="E29" s="94">
        <f>IF($A29="Totals",SUM(E$14:E28),IF($A29=" "," ",$E28))</f>
        <v>4320</v>
      </c>
      <c r="F29" s="94">
        <f>IF($A29="Totals",SUM(F$14:F28),IF($A29=" "," ",($B29+$C29)*($G$8/100)))</f>
        <v>9974.4563381921471</v>
      </c>
      <c r="G29" s="95">
        <f>IF($A29="Totals",SUM(G$14:G28),IF($A29=" "," ",D29*($C$11/100)))</f>
        <v>1512</v>
      </c>
      <c r="H29" s="95">
        <f>IF($A29="Totals",SUM(H$14:H28),IF($A29=" "," ",E29*($E$11/100)))</f>
        <v>864</v>
      </c>
      <c r="I29" s="95">
        <f>IF($A29="Totals",SUM(I$14:I28),IF($A29=" "," ",SUM(G29:H29)))</f>
        <v>2376</v>
      </c>
      <c r="J29" s="95">
        <f>IF($A29="Totals",SUM(J$14:J28),IF($A29=" "," ",FV($G$11/100,$G$4-A29,0,-I29)))</f>
        <v>4255.0541269858222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>
      <c r="A30" s="77">
        <f>IF($A29="Totals"," ",IF(A29=" "," ",IF($A29='Compound Inv.'!$G$4,"Totals",$A29+1)))</f>
        <v>16</v>
      </c>
      <c r="B30" s="93">
        <f t="shared" si="0"/>
        <v>259335.86479299585</v>
      </c>
      <c r="C30" s="93">
        <f>IF($A30="Totals",SUM(C$14:C29),IF($A30=" "," ",$E$4))</f>
        <v>0</v>
      </c>
      <c r="D30" s="94">
        <f>IF($A30="Totals",SUM(D$14:D29),IF($A30=" "," ",$D29))</f>
        <v>4320</v>
      </c>
      <c r="E30" s="94">
        <f>IF($A30="Totals",SUM(E$14:E29),IF($A30=" "," ",$E29))</f>
        <v>4320</v>
      </c>
      <c r="F30" s="94">
        <f>IF($A30="Totals",SUM(F$14:F29),IF($A30=" "," ",($B30+$C30)*($G$8/100)))</f>
        <v>10373.434591719835</v>
      </c>
      <c r="G30" s="95">
        <f>IF($A30="Totals",SUM(G$14:G29),IF($A30=" "," ",D30*($C$11/100)))</f>
        <v>1512</v>
      </c>
      <c r="H30" s="95">
        <f>IF($A30="Totals",SUM(H$14:H29),IF($A30=" "," ",E30*($E$11/100)))</f>
        <v>864</v>
      </c>
      <c r="I30" s="95">
        <f>IF($A30="Totals",SUM(I$14:I29),IF($A30=" "," ",SUM(G30:H30)))</f>
        <v>2376</v>
      </c>
      <c r="J30" s="95">
        <f>IF($A30="Totals",SUM(J$14:J29),IF($A30=" "," ",FV($G$11/100,$G$4-A30,0,-I30)))</f>
        <v>4014.202006590398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>
      <c r="A31" s="77">
        <f>IF($A30="Totals"," ",IF(A30=" "," ",IF($A30='Compound Inv.'!$G$4,"Totals",$A30+1)))</f>
        <v>17</v>
      </c>
      <c r="B31" s="93">
        <f t="shared" si="0"/>
        <v>269709.29938471568</v>
      </c>
      <c r="C31" s="93">
        <f>IF($A31="Totals",SUM(C$14:C30),IF($A31=" "," ",$E$4))</f>
        <v>0</v>
      </c>
      <c r="D31" s="94">
        <f>IF($A31="Totals",SUM(D$14:D30),IF($A31=" "," ",$D30))</f>
        <v>4320</v>
      </c>
      <c r="E31" s="94">
        <f>IF($A31="Totals",SUM(E$14:E30),IF($A31=" "," ",$E30))</f>
        <v>4320</v>
      </c>
      <c r="F31" s="94">
        <f>IF($A31="Totals",SUM(F$14:F30),IF($A31=" "," ",($B31+$C31)*($G$8/100)))</f>
        <v>10788.371975388627</v>
      </c>
      <c r="G31" s="95">
        <f>IF($A31="Totals",SUM(G$14:G30),IF($A31=" "," ",D31*($C$11/100)))</f>
        <v>1512</v>
      </c>
      <c r="H31" s="95">
        <f>IF($A31="Totals",SUM(H$14:H30),IF($A31=" "," ",E31*($E$11/100)))</f>
        <v>864</v>
      </c>
      <c r="I31" s="95">
        <f>IF($A31="Totals",SUM(I$14:I30),IF($A31=" "," ",SUM(G31:H31)))</f>
        <v>2376</v>
      </c>
      <c r="J31" s="95">
        <f>IF($A31="Totals",SUM(J$14:J30),IF($A31=" "," ",FV($G$11/100,$G$4-A31,0,-I31)))</f>
        <v>3786.9830250852815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>
      <c r="A32" s="77">
        <f>IF($A31="Totals"," ",IF(A31=" "," ",IF($A31='Compound Inv.'!$G$4,"Totals",$A31+1)))</f>
        <v>18</v>
      </c>
      <c r="B32" s="93">
        <f t="shared" si="0"/>
        <v>280497.67136010429</v>
      </c>
      <c r="C32" s="93">
        <f>IF($A32="Totals",SUM(C$14:C31),IF($A32=" "," ",$E$4))</f>
        <v>0</v>
      </c>
      <c r="D32" s="94">
        <f>IF($A32="Totals",SUM(D$14:D31),IF($A32=" "," ",$D31))</f>
        <v>4320</v>
      </c>
      <c r="E32" s="94">
        <f>IF($A32="Totals",SUM(E$14:E31),IF($A32=" "," ",$E31))</f>
        <v>4320</v>
      </c>
      <c r="F32" s="94">
        <f>IF($A32="Totals",SUM(F$14:F31),IF($A32=" "," ",($B32+$C32)*($G$8/100)))</f>
        <v>11219.906854404171</v>
      </c>
      <c r="G32" s="95">
        <f>IF($A32="Totals",SUM(G$14:G31),IF($A32=" "," ",D32*($C$11/100)))</f>
        <v>1512</v>
      </c>
      <c r="H32" s="95">
        <f>IF($A32="Totals",SUM(H$14:H31),IF($A32=" "," ",E32*($E$11/100)))</f>
        <v>864</v>
      </c>
      <c r="I32" s="95">
        <f>IF($A32="Totals",SUM(I$14:I31),IF($A32=" "," ",SUM(G32:H32)))</f>
        <v>2376</v>
      </c>
      <c r="J32" s="95">
        <f>IF($A32="Totals",SUM(J$14:J31),IF($A32=" "," ",FV($G$11/100,$G$4-A32,0,-I32)))</f>
        <v>3572.6254953634734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>
      <c r="A33" s="77">
        <f>IF($A32="Totals"," ",IF(A32=" "," ",IF($A32='Compound Inv.'!$G$4,"Totals",$A32+1)))</f>
        <v>19</v>
      </c>
      <c r="B33" s="93">
        <f t="shared" si="0"/>
        <v>291717.57821450848</v>
      </c>
      <c r="C33" s="93">
        <f>IF($A33="Totals",SUM(C$14:C32),IF($A33=" "," ",$E$4))</f>
        <v>0</v>
      </c>
      <c r="D33" s="94">
        <f>IF($A33="Totals",SUM(D$14:D32),IF($A33=" "," ",$D32))</f>
        <v>4320</v>
      </c>
      <c r="E33" s="94">
        <f>IF($A33="Totals",SUM(E$14:E32),IF($A33=" "," ",$E32))</f>
        <v>4320</v>
      </c>
      <c r="F33" s="94">
        <f>IF($A33="Totals",SUM(F$14:F32),IF($A33=" "," ",($B33+$C33)*($G$8/100)))</f>
        <v>11668.703128580339</v>
      </c>
      <c r="G33" s="95">
        <f>IF($A33="Totals",SUM(G$14:G32),IF($A33=" "," ",D33*($C$11/100)))</f>
        <v>1512</v>
      </c>
      <c r="H33" s="95">
        <f>IF($A33="Totals",SUM(H$14:H32),IF($A33=" "," ",E33*($E$11/100)))</f>
        <v>864</v>
      </c>
      <c r="I33" s="95">
        <f>IF($A33="Totals",SUM(I$14:I32),IF($A33=" "," ",SUM(G33:H33)))</f>
        <v>2376</v>
      </c>
      <c r="J33" s="95">
        <f>IF($A33="Totals",SUM(J$14:J32),IF($A33=" "," ",FV($G$11/100,$G$4-A33,0,-I33)))</f>
        <v>3370.4014107202574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>
      <c r="A34" s="77">
        <f>IF($A33="Totals"," ",IF(A33=" "," ",IF($A33='Compound Inv.'!$G$4,"Totals",$A33+1)))</f>
        <v>20</v>
      </c>
      <c r="B34" s="93">
        <f t="shared" si="0"/>
        <v>303386.28134308883</v>
      </c>
      <c r="C34" s="93">
        <f>IF($A34="Totals",SUM(C$14:C33),IF($A34=" "," ",$E$4))</f>
        <v>0</v>
      </c>
      <c r="D34" s="94">
        <f>IF($A34="Totals",SUM(D$14:D33),IF($A34=" "," ",$D33))</f>
        <v>4320</v>
      </c>
      <c r="E34" s="94">
        <f>IF($A34="Totals",SUM(E$14:E33),IF($A34=" "," ",$E33))</f>
        <v>4320</v>
      </c>
      <c r="F34" s="94">
        <f>IF($A34="Totals",SUM(F$14:F33),IF($A34=" "," ",($B34+$C34)*($G$8/100)))</f>
        <v>12135.451253723553</v>
      </c>
      <c r="G34" s="95">
        <f>IF($A34="Totals",SUM(G$14:G33),IF($A34=" "," ",D34*($C$11/100)))</f>
        <v>1512</v>
      </c>
      <c r="H34" s="95">
        <f>IF($A34="Totals",SUM(H$14:H33),IF($A34=" "," ",E34*($E$11/100)))</f>
        <v>864</v>
      </c>
      <c r="I34" s="95">
        <f>IF($A34="Totals",SUM(I$14:I33),IF($A34=" "," ",SUM(G34:H34)))</f>
        <v>2376</v>
      </c>
      <c r="J34" s="95">
        <f>IF($A34="Totals",SUM(J$14:J33),IF($A34=" "," ",FV($G$11/100,$G$4-A34,0,-I34)))</f>
        <v>3179.6239723776011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>
      <c r="A35" s="77" t="str">
        <f>IF($A34="Totals"," ",IF(A34=" "," ",IF($A34='Compound Inv.'!$G$4,"Totals",$A34+1)))</f>
        <v>Totals</v>
      </c>
      <c r="B35" s="93">
        <f t="shared" si="0"/>
        <v>315521.73259681236</v>
      </c>
      <c r="C35" s="93">
        <f>IF($A35="Totals",SUM(C$14:C34),IF($A35=" "," ",$E$4))</f>
        <v>0</v>
      </c>
      <c r="D35" s="94">
        <f>IF($A35="Totals",SUM(D$14:D34),IF($A35=" "," ",$D34))</f>
        <v>86400</v>
      </c>
      <c r="E35" s="94">
        <f>IF($A35="Totals",SUM(E$14:E34),IF($A35=" "," ",$E34))</f>
        <v>86400</v>
      </c>
      <c r="F35" s="94">
        <f>IF($A35="Totals",SUM(F$14:F34),IF($A35=" "," ",($B35+$C35)*($G$8/100)))</f>
        <v>171521.73259681239</v>
      </c>
      <c r="G35" s="95">
        <f>IF($A35="Totals",SUM(G$14:G34),IF($A35=" "," ",D35*($C$11/100)))</f>
        <v>30240</v>
      </c>
      <c r="H35" s="95">
        <f>IF($A35="Totals",SUM(H$14:H34),IF($A35=" "," ",E35*($E$11/100)))</f>
        <v>17280</v>
      </c>
      <c r="I35" s="95">
        <f>IF($A35="Totals",SUM(I$14:I34),IF($A35=" "," ",SUM(G35:H35)))</f>
        <v>47520</v>
      </c>
      <c r="J35" s="95">
        <f>IF($A35="Totals",SUM(J$14:J34),IF($A35=" "," ",FV($G$11/100,$G$4-A35,0,-I35)))</f>
        <v>116964.34762888201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>
      <c r="A36" s="77" t="str">
        <f>IF($A35="Totals"," ",IF(A35=" "," ",IF($A35='Compound Inv.'!$G$4,"Totals",$A35+1)))</f>
        <v xml:space="preserve"> </v>
      </c>
      <c r="B36" s="93" t="str">
        <f t="shared" si="0"/>
        <v xml:space="preserve"> </v>
      </c>
      <c r="C36" s="93" t="str">
        <f>IF($A36="Totals",SUM(C$14:C35),IF($A36=" "," ",$E$4))</f>
        <v xml:space="preserve"> </v>
      </c>
      <c r="D36" s="94" t="str">
        <f>IF($A36="Totals",SUM(D$14:D35),IF($A36=" "," ",$D35))</f>
        <v xml:space="preserve"> </v>
      </c>
      <c r="E36" s="94" t="str">
        <f>IF($A36="Totals",SUM(E$14:E35),IF($A36=" "," ",$E35))</f>
        <v xml:space="preserve"> </v>
      </c>
      <c r="F36" s="94" t="str">
        <f>IF($A36="Totals",SUM(F$14:F35),IF($A36=" "," ",($B36+$C36)*($G$8/100)))</f>
        <v xml:space="preserve"> </v>
      </c>
      <c r="G36" s="95" t="str">
        <f>IF($A36="Totals",SUM(G$14:G35),IF($A36=" "," ",D36*($C$11/100)))</f>
        <v xml:space="preserve"> </v>
      </c>
      <c r="H36" s="95" t="str">
        <f>IF($A36="Totals",SUM(H$14:H35),IF($A36=" "," ",E36*($E$11/100)))</f>
        <v xml:space="preserve"> </v>
      </c>
      <c r="I36" s="95" t="str">
        <f>IF($A36="Totals",SUM(I$14:I35),IF($A36=" "," ",SUM(G36:H36)))</f>
        <v xml:space="preserve"> </v>
      </c>
      <c r="J36" s="95" t="str">
        <f>IF($A36="Totals",SUM(J$14:J35),IF($A36=" "," ",FV($G$11/100,$G$4-A36,0,-I36)))</f>
        <v xml:space="preserve"> 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>
      <c r="A37" s="77" t="str">
        <f>IF($A36="Totals"," ",IF(A36=" "," ",IF($A36='Compound Inv.'!$G$4,"Totals",$A36+1)))</f>
        <v xml:space="preserve"> </v>
      </c>
      <c r="B37" s="93" t="str">
        <f t="shared" si="0"/>
        <v xml:space="preserve"> </v>
      </c>
      <c r="C37" s="93" t="str">
        <f>IF($A37="Totals",SUM(C$14:C36),IF($A37=" "," ",$E$4))</f>
        <v xml:space="preserve"> </v>
      </c>
      <c r="D37" s="94" t="str">
        <f>IF($A37="Totals",SUM(D$14:D36),IF($A37=" "," ",$D36))</f>
        <v xml:space="preserve"> </v>
      </c>
      <c r="E37" s="94" t="str">
        <f>IF($A37="Totals",SUM(E$14:E36),IF($A37=" "," ",$E36))</f>
        <v xml:space="preserve"> </v>
      </c>
      <c r="F37" s="94" t="str">
        <f>IF($A37="Totals",SUM(F$14:F36),IF($A37=" "," ",($B37+$C37)*($G$8/100)))</f>
        <v xml:space="preserve"> </v>
      </c>
      <c r="G37" s="95" t="str">
        <f>IF($A37="Totals",SUM(G$14:G36),IF($A37=" "," ",D37*($C$11/100)))</f>
        <v xml:space="preserve"> </v>
      </c>
      <c r="H37" s="95" t="str">
        <f>IF($A37="Totals",SUM(H$14:H36),IF($A37=" "," ",E37*($E$11/100)))</f>
        <v xml:space="preserve"> </v>
      </c>
      <c r="I37" s="95" t="str">
        <f>IF($A37="Totals",SUM(I$14:I36),IF($A37=" "," ",SUM(G37:H37)))</f>
        <v xml:space="preserve"> </v>
      </c>
      <c r="J37" s="95" t="str">
        <f>IF($A37="Totals",SUM(J$14:J36),IF($A37=" "," ",FV($G$11/100,$G$4-A37,0,-I37)))</f>
        <v xml:space="preserve"> 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>
      <c r="A38" s="77" t="str">
        <f>IF($A37="Totals"," ",IF(A37=" "," ",IF($A37='Compound Inv.'!$G$4,"Totals",$A37+1)))</f>
        <v xml:space="preserve"> </v>
      </c>
      <c r="B38" s="93" t="str">
        <f t="shared" si="0"/>
        <v xml:space="preserve"> </v>
      </c>
      <c r="C38" s="93" t="str">
        <f>IF($A38="Totals",SUM(C$14:C37),IF($A38=" "," ",$E$4))</f>
        <v xml:space="preserve"> </v>
      </c>
      <c r="D38" s="94" t="str">
        <f>IF($A38="Totals",SUM(D$14:D37),IF($A38=" "," ",$D37))</f>
        <v xml:space="preserve"> </v>
      </c>
      <c r="E38" s="94" t="str">
        <f>IF($A38="Totals",SUM(E$14:E37),IF($A38=" "," ",$E37))</f>
        <v xml:space="preserve"> </v>
      </c>
      <c r="F38" s="94" t="str">
        <f>IF($A38="Totals",SUM(F$14:F37),IF($A38=" "," ",($B38+$C38)*($G$8/100)))</f>
        <v xml:space="preserve"> </v>
      </c>
      <c r="G38" s="95" t="str">
        <f>IF($A38="Totals",SUM(G$14:G37),IF($A38=" "," ",D38*($C$11/100)))</f>
        <v xml:space="preserve"> </v>
      </c>
      <c r="H38" s="95" t="str">
        <f>IF($A38="Totals",SUM(H$14:H37),IF($A38=" "," ",E38*($E$11/100)))</f>
        <v xml:space="preserve"> </v>
      </c>
      <c r="I38" s="95" t="str">
        <f>IF($A38="Totals",SUM(I$14:I37),IF($A38=" "," ",SUM(G38:H38)))</f>
        <v xml:space="preserve"> </v>
      </c>
      <c r="J38" s="95" t="str">
        <f>IF($A38="Totals",SUM(J$14:J37),IF($A38=" "," ",FV($G$11/100,$G$4-A38,0,-I38)))</f>
        <v xml:space="preserve"> 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>
      <c r="A39" s="77" t="str">
        <f>IF($A38="Totals"," ",IF(A38=" "," ",IF($A38='Compound Inv.'!$G$4,"Totals",$A38+1)))</f>
        <v xml:space="preserve"> </v>
      </c>
      <c r="B39" s="93" t="str">
        <f t="shared" si="0"/>
        <v xml:space="preserve"> </v>
      </c>
      <c r="C39" s="93" t="str">
        <f>IF($A39="Totals",SUM(C$14:C38),IF($A39=" "," ",$E$4))</f>
        <v xml:space="preserve"> </v>
      </c>
      <c r="D39" s="94" t="str">
        <f>IF($A39="Totals",SUM(D$14:D38),IF($A39=" "," ",$D38))</f>
        <v xml:space="preserve"> </v>
      </c>
      <c r="E39" s="94" t="str">
        <f>IF($A39="Totals",SUM(E$14:E38),IF($A39=" "," ",$E38))</f>
        <v xml:space="preserve"> </v>
      </c>
      <c r="F39" s="94" t="str">
        <f>IF($A39="Totals",SUM(F$14:F38),IF($A39=" "," ",($B39+$C39)*($G$8/100)))</f>
        <v xml:space="preserve"> </v>
      </c>
      <c r="G39" s="95" t="str">
        <f>IF($A39="Totals",SUM(G$14:G38),IF($A39=" "," ",D39*($C$11/100)))</f>
        <v xml:space="preserve"> </v>
      </c>
      <c r="H39" s="95" t="str">
        <f>IF($A39="Totals",SUM(H$14:H38),IF($A39=" "," ",E39*($E$11/100)))</f>
        <v xml:space="preserve"> </v>
      </c>
      <c r="I39" s="95" t="str">
        <f>IF($A39="Totals",SUM(I$14:I38),IF($A39=" "," ",SUM(G39:H39)))</f>
        <v xml:space="preserve"> </v>
      </c>
      <c r="J39" s="95" t="str">
        <f>IF($A39="Totals",SUM(J$14:J38),IF($A39=" "," ",FV($G$11/100,$G$4-A39,0,-I39)))</f>
        <v xml:space="preserve"> 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  <row r="40" spans="1:256">
      <c r="A40" s="77" t="str">
        <f>IF($A39="Totals"," ",IF(A39=" "," ",IF($A39='Compound Inv.'!$G$4,"Totals",$A39+1)))</f>
        <v xml:space="preserve"> </v>
      </c>
      <c r="B40" s="93" t="str">
        <f t="shared" si="0"/>
        <v xml:space="preserve"> </v>
      </c>
      <c r="C40" s="93" t="str">
        <f>IF($A40="Totals",SUM(C$14:C39),IF($A40=" "," ",$E$4))</f>
        <v xml:space="preserve"> </v>
      </c>
      <c r="D40" s="94" t="str">
        <f>IF($A40="Totals",SUM(D$14:D39),IF($A40=" "," ",$D39))</f>
        <v xml:space="preserve"> </v>
      </c>
      <c r="E40" s="94" t="str">
        <f>IF($A40="Totals",SUM(E$14:E39),IF($A40=" "," ",$E39))</f>
        <v xml:space="preserve"> </v>
      </c>
      <c r="F40" s="94" t="str">
        <f>IF($A40="Totals",SUM(F$14:F39),IF($A40=" "," ",($B40+$C40)*($G$8/100)))</f>
        <v xml:space="preserve"> </v>
      </c>
      <c r="G40" s="95" t="str">
        <f>IF($A40="Totals",SUM(G$14:G39),IF($A40=" "," ",D40*($C$11/100)))</f>
        <v xml:space="preserve"> </v>
      </c>
      <c r="H40" s="95" t="str">
        <f>IF($A40="Totals",SUM(H$14:H39),IF($A40=" "," ",E40*($E$11/100)))</f>
        <v xml:space="preserve"> </v>
      </c>
      <c r="I40" s="95" t="str">
        <f>IF($A40="Totals",SUM(I$14:I39),IF($A40=" "," ",SUM(G40:H40)))</f>
        <v xml:space="preserve"> </v>
      </c>
      <c r="J40" s="95" t="str">
        <f>IF($A40="Totals",SUM(J$14:J39),IF($A40=" "," ",FV($G$11/100,$G$4-A40,0,-I40)))</f>
        <v xml:space="preserve"> 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spans="1:256">
      <c r="A41" s="77" t="str">
        <f>IF($A40="Totals"," ",IF(A40=" "," ",IF($A40='Compound Inv.'!$G$4,"Totals",$A40+1)))</f>
        <v xml:space="preserve"> </v>
      </c>
      <c r="B41" s="93" t="str">
        <f t="shared" si="0"/>
        <v xml:space="preserve"> </v>
      </c>
      <c r="C41" s="93" t="str">
        <f>IF($A41="Totals",SUM(C$14:C40),IF($A41=" "," ",$E$4))</f>
        <v xml:space="preserve"> </v>
      </c>
      <c r="D41" s="94" t="str">
        <f>IF($A41="Totals",SUM(D$14:D40),IF($A41=" "," ",$D40))</f>
        <v xml:space="preserve"> </v>
      </c>
      <c r="E41" s="94" t="str">
        <f>IF($A41="Totals",SUM(E$14:E40),IF($A41=" "," ",$E40))</f>
        <v xml:space="preserve"> </v>
      </c>
      <c r="F41" s="94" t="str">
        <f>IF($A41="Totals",SUM(F$14:F40),IF($A41=" "," ",($B41+$C41)*($G$8/100)))</f>
        <v xml:space="preserve"> </v>
      </c>
      <c r="G41" s="95" t="str">
        <f>IF($A41="Totals",SUM(G$14:G40),IF($A41=" "," ",D41*($C$11/100)))</f>
        <v xml:space="preserve"> </v>
      </c>
      <c r="H41" s="95" t="str">
        <f>IF($A41="Totals",SUM(H$14:H40),IF($A41=" "," ",E41*($E$11/100)))</f>
        <v xml:space="preserve"> </v>
      </c>
      <c r="I41" s="95" t="str">
        <f>IF($A41="Totals",SUM(I$14:I40),IF($A41=" "," ",SUM(G41:H41)))</f>
        <v xml:space="preserve"> </v>
      </c>
      <c r="J41" s="95" t="str">
        <f>IF($A41="Totals",SUM(J$14:J40),IF($A41=" "," ",FV($G$11/100,$G$4-A41,0,-I41)))</f>
        <v xml:space="preserve"> 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  <c r="IV41" s="78"/>
    </row>
    <row r="42" spans="1:256">
      <c r="A42" s="77" t="str">
        <f>IF($A41="Totals"," ",IF(A41=" "," ",IF($A41='Compound Inv.'!$G$4,"Totals",$A41+1)))</f>
        <v xml:space="preserve"> </v>
      </c>
      <c r="B42" s="93" t="str">
        <f t="shared" si="0"/>
        <v xml:space="preserve"> </v>
      </c>
      <c r="C42" s="93" t="str">
        <f>IF($A42="Totals",SUM(C$14:C41),IF($A42=" "," ",$E$4))</f>
        <v xml:space="preserve"> </v>
      </c>
      <c r="D42" s="94" t="str">
        <f>IF($A42="Totals",SUM(D$14:D41),IF($A42=" "," ",$D41))</f>
        <v xml:space="preserve"> </v>
      </c>
      <c r="E42" s="94" t="str">
        <f>IF($A42="Totals",SUM(E$14:E41),IF($A42=" "," ",$E41))</f>
        <v xml:space="preserve"> </v>
      </c>
      <c r="F42" s="94" t="str">
        <f>IF($A42="Totals",SUM(F$14:F41),IF($A42=" "," ",($B42+$C42)*($G$8/100)))</f>
        <v xml:space="preserve"> </v>
      </c>
      <c r="G42" s="95" t="str">
        <f>IF($A42="Totals",SUM(G$14:G41),IF($A42=" "," ",D42*($C$11/100)))</f>
        <v xml:space="preserve"> </v>
      </c>
      <c r="H42" s="95" t="str">
        <f>IF($A42="Totals",SUM(H$14:H41),IF($A42=" "," ",E42*($E$11/100)))</f>
        <v xml:space="preserve"> </v>
      </c>
      <c r="I42" s="95" t="str">
        <f>IF($A42="Totals",SUM(I$14:I41),IF($A42=" "," ",SUM(G42:H42)))</f>
        <v xml:space="preserve"> </v>
      </c>
      <c r="J42" s="95" t="str">
        <f>IF($A42="Totals",SUM(J$14:J41),IF($A42=" "," ",FV($G$11/100,$G$4-A42,0,-I42)))</f>
        <v xml:space="preserve"> 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  <c r="IV42" s="78"/>
    </row>
    <row r="43" spans="1:256">
      <c r="A43" s="77" t="str">
        <f>IF($A42="Totals"," ",IF(A42=" "," ",IF($A42='Compound Inv.'!$G$4,"Totals",$A42+1)))</f>
        <v xml:space="preserve"> </v>
      </c>
      <c r="B43" s="93" t="str">
        <f t="shared" si="0"/>
        <v xml:space="preserve"> </v>
      </c>
      <c r="C43" s="93" t="str">
        <f>IF($A43="Totals",SUM(C$14:C42),IF($A43=" "," ",$E$4))</f>
        <v xml:space="preserve"> </v>
      </c>
      <c r="D43" s="94" t="str">
        <f>IF($A43="Totals",SUM(D$14:D42),IF($A43=" "," ",$D42))</f>
        <v xml:space="preserve"> </v>
      </c>
      <c r="E43" s="94" t="str">
        <f>IF($A43="Totals",SUM(E$14:E42),IF($A43=" "," ",$E42))</f>
        <v xml:space="preserve"> </v>
      </c>
      <c r="F43" s="94" t="str">
        <f>IF($A43="Totals",SUM(F$14:F42),IF($A43=" "," ",($B43+$C43)*($G$8/100)))</f>
        <v xml:space="preserve"> </v>
      </c>
      <c r="G43" s="95" t="str">
        <f>IF($A43="Totals",SUM(G$14:G42),IF($A43=" "," ",D43*($C$11/100)))</f>
        <v xml:space="preserve"> </v>
      </c>
      <c r="H43" s="95" t="str">
        <f>IF($A43="Totals",SUM(H$14:H42),IF($A43=" "," ",E43*($E$11/100)))</f>
        <v xml:space="preserve"> </v>
      </c>
      <c r="I43" s="95" t="str">
        <f>IF($A43="Totals",SUM(I$14:I42),IF($A43=" "," ",SUM(G43:H43)))</f>
        <v xml:space="preserve"> </v>
      </c>
      <c r="J43" s="95" t="str">
        <f>IF($A43="Totals",SUM(J$14:J42),IF($A43=" "," ",FV($G$11/100,$G$4-A43,0,-I43)))</f>
        <v xml:space="preserve"> 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</row>
    <row r="44" spans="1:256">
      <c r="A44" s="77" t="str">
        <f>IF($A43="Totals"," ",IF(A43=" "," ",IF($A43='Compound Inv.'!$G$4,"Totals",$A43+1)))</f>
        <v xml:space="preserve"> </v>
      </c>
      <c r="B44" s="93" t="str">
        <f t="shared" si="0"/>
        <v xml:space="preserve"> </v>
      </c>
      <c r="C44" s="93" t="str">
        <f>IF($A44="Totals",SUM(C$14:C43),IF($A44=" "," ",$E$4))</f>
        <v xml:space="preserve"> </v>
      </c>
      <c r="D44" s="94" t="str">
        <f>IF($A44="Totals",SUM(D$14:D43),IF($A44=" "," ",$D43))</f>
        <v xml:space="preserve"> </v>
      </c>
      <c r="E44" s="94" t="str">
        <f>IF($A44="Totals",SUM(E$14:E43),IF($A44=" "," ",$E43))</f>
        <v xml:space="preserve"> </v>
      </c>
      <c r="F44" s="94" t="str">
        <f>IF($A44="Totals",SUM(F$14:F43),IF($A44=" "," ",($B44+$C44)*($G$8/100)))</f>
        <v xml:space="preserve"> </v>
      </c>
      <c r="G44" s="95" t="str">
        <f>IF($A44="Totals",SUM(G$14:G43),IF($A44=" "," ",D44*($C$11/100)))</f>
        <v xml:space="preserve"> </v>
      </c>
      <c r="H44" s="95" t="str">
        <f>IF($A44="Totals",SUM(H$14:H43),IF($A44=" "," ",E44*($E$11/100)))</f>
        <v xml:space="preserve"> </v>
      </c>
      <c r="I44" s="95" t="str">
        <f>IF($A44="Totals",SUM(I$14:I43),IF($A44=" "," ",SUM(G44:H44)))</f>
        <v xml:space="preserve"> </v>
      </c>
      <c r="J44" s="95" t="str">
        <f>IF($A44="Totals",SUM(J$14:J43),IF($A44=" "," ",FV($G$11/100,$G$4-A44,0,-I44)))</f>
        <v xml:space="preserve"> 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  <c r="IV44" s="78"/>
    </row>
    <row r="45" spans="1:256">
      <c r="A45" s="77" t="str">
        <f>IF($A44="Totals"," ",IF(A44=" "," ",IF($A44='Compound Inv.'!$G$4,"Totals",$A44+1)))</f>
        <v xml:space="preserve"> </v>
      </c>
      <c r="B45" s="93" t="str">
        <f t="shared" si="0"/>
        <v xml:space="preserve"> </v>
      </c>
      <c r="C45" s="93" t="str">
        <f>IF($A45="Totals",SUM(C$14:C44),IF($A45=" "," ",$E$4))</f>
        <v xml:space="preserve"> </v>
      </c>
      <c r="D45" s="94" t="str">
        <f>IF($A45="Totals",SUM(D$14:D44),IF($A45=" "," ",$D44))</f>
        <v xml:space="preserve"> </v>
      </c>
      <c r="E45" s="94" t="str">
        <f>IF($A45="Totals",SUM(E$14:E44),IF($A45=" "," ",$E44))</f>
        <v xml:space="preserve"> </v>
      </c>
      <c r="F45" s="94" t="str">
        <f>IF($A45="Totals",SUM(F$14:F44),IF($A45=" "," ",($B45+$C45)*($G$8/100)))</f>
        <v xml:space="preserve"> </v>
      </c>
      <c r="G45" s="95" t="str">
        <f>IF($A45="Totals",SUM(G$14:G44),IF($A45=" "," ",D45*($C$11/100)))</f>
        <v xml:space="preserve"> </v>
      </c>
      <c r="H45" s="95" t="str">
        <f>IF($A45="Totals",SUM(H$14:H44),IF($A45=" "," ",E45*($E$11/100)))</f>
        <v xml:space="preserve"> </v>
      </c>
      <c r="I45" s="95" t="str">
        <f>IF($A45="Totals",SUM(I$14:I44),IF($A45=" "," ",SUM(G45:H45)))</f>
        <v xml:space="preserve"> </v>
      </c>
      <c r="J45" s="95" t="str">
        <f>IF($A45="Totals",SUM(J$14:J44),IF($A45=" "," ",FV($G$11/100,$G$4-A45,0,-I45)))</f>
        <v xml:space="preserve"> 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  <c r="IV45" s="78"/>
    </row>
    <row r="46" spans="1:256">
      <c r="A46" s="77" t="str">
        <f>IF($A45="Totals"," ",IF(A45=" "," ",IF($A45='Compound Inv.'!$G$4,"Totals",$A45+1)))</f>
        <v xml:space="preserve"> </v>
      </c>
      <c r="B46" s="93" t="str">
        <f t="shared" si="0"/>
        <v xml:space="preserve"> </v>
      </c>
      <c r="C46" s="93" t="str">
        <f>IF($A46="Totals",SUM(C$14:C45),IF($A46=" "," ",$E$4))</f>
        <v xml:space="preserve"> </v>
      </c>
      <c r="D46" s="94" t="str">
        <f>IF($A46="Totals",SUM(D$14:D45),IF($A46=" "," ",$D45))</f>
        <v xml:space="preserve"> </v>
      </c>
      <c r="E46" s="94" t="str">
        <f>IF($A46="Totals",SUM(E$14:E45),IF($A46=" "," ",$E45))</f>
        <v xml:space="preserve"> </v>
      </c>
      <c r="F46" s="94" t="str">
        <f>IF($A46="Totals",SUM(F$14:F45),IF($A46=" "," ",($B46+$C46)*($G$8/100)))</f>
        <v xml:space="preserve"> </v>
      </c>
      <c r="G46" s="95" t="str">
        <f>IF($A46="Totals",SUM(G$14:G45),IF($A46=" "," ",D46*($C$11/100)))</f>
        <v xml:space="preserve"> </v>
      </c>
      <c r="H46" s="95" t="str">
        <f>IF($A46="Totals",SUM(H$14:H45),IF($A46=" "," ",E46*($E$11/100)))</f>
        <v xml:space="preserve"> </v>
      </c>
      <c r="I46" s="95" t="str">
        <f>IF($A46="Totals",SUM(I$14:I45),IF($A46=" "," ",SUM(G46:H46)))</f>
        <v xml:space="preserve"> </v>
      </c>
      <c r="J46" s="95" t="str">
        <f>IF($A46="Totals",SUM(J$14:J45),IF($A46=" "," ",FV($G$11/100,$G$4-A46,0,-I46)))</f>
        <v xml:space="preserve"> </v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  <c r="IV46" s="78"/>
    </row>
    <row r="47" spans="1:256">
      <c r="A47" s="77" t="str">
        <f>IF($A46="Totals"," ",IF(A46=" "," ",IF($A46='Compound Inv.'!$G$4,"Totals",$A46+1)))</f>
        <v xml:space="preserve"> </v>
      </c>
      <c r="B47" s="93" t="str">
        <f t="shared" si="0"/>
        <v xml:space="preserve"> </v>
      </c>
      <c r="C47" s="93" t="str">
        <f>IF($A47="Totals",SUM(C$14:C46),IF($A47=" "," ",$E$4))</f>
        <v xml:space="preserve"> </v>
      </c>
      <c r="D47" s="94" t="str">
        <f>IF($A47="Totals",SUM(D$14:D46),IF($A47=" "," ",$D46))</f>
        <v xml:space="preserve"> </v>
      </c>
      <c r="E47" s="94" t="str">
        <f>IF($A47="Totals",SUM(E$14:E46),IF($A47=" "," ",$E46))</f>
        <v xml:space="preserve"> </v>
      </c>
      <c r="F47" s="94" t="str">
        <f>IF($A47="Totals",SUM(F$14:F46),IF($A47=" "," ",($B47+$C47)*($G$8/100)))</f>
        <v xml:space="preserve"> </v>
      </c>
      <c r="G47" s="95" t="str">
        <f>IF($A47="Totals",SUM(G$14:G46),IF($A47=" "," ",D47*($C$11/100)))</f>
        <v xml:space="preserve"> </v>
      </c>
      <c r="H47" s="95" t="str">
        <f>IF($A47="Totals",SUM(H$14:H46),IF($A47=" "," ",E47*($E$11/100)))</f>
        <v xml:space="preserve"> </v>
      </c>
      <c r="I47" s="95" t="str">
        <f>IF($A47="Totals",SUM(I$14:I46),IF($A47=" "," ",SUM(G47:H47)))</f>
        <v xml:space="preserve"> </v>
      </c>
      <c r="J47" s="95" t="str">
        <f>IF($A47="Totals",SUM(J$14:J46),IF($A47=" "," ",FV($G$11/100,$G$4-A47,0,-I47)))</f>
        <v xml:space="preserve"> 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  <c r="IV47" s="78"/>
    </row>
    <row r="48" spans="1:256">
      <c r="A48" s="77" t="str">
        <f>IF($A47="Totals"," ",IF(A47=" "," ",IF($A47='Compound Inv.'!$G$4,"Totals",$A47+1)))</f>
        <v xml:space="preserve"> </v>
      </c>
      <c r="B48" s="93" t="str">
        <f t="shared" ref="B48:B65" si="1">IF($A48="Totals",B47+F47,IF($A48=" "," ",B47+F47))</f>
        <v xml:space="preserve"> </v>
      </c>
      <c r="C48" s="93" t="str">
        <f>IF($A48="Totals",SUM(C$14:C47),IF($A48=" "," ",$E$4))</f>
        <v xml:space="preserve"> </v>
      </c>
      <c r="D48" s="94" t="str">
        <f>IF($A48="Totals",SUM(D$14:D47),IF($A48=" "," ",$D47))</f>
        <v xml:space="preserve"> </v>
      </c>
      <c r="E48" s="94" t="str">
        <f>IF($A48="Totals",SUM(E$14:E47),IF($A48=" "," ",$E47))</f>
        <v xml:space="preserve"> </v>
      </c>
      <c r="F48" s="94" t="str">
        <f>IF($A48="Totals",SUM(F$14:F47),IF($A48=" "," ",($B48+$C48)*($G$8/100)))</f>
        <v xml:space="preserve"> </v>
      </c>
      <c r="G48" s="95" t="str">
        <f>IF($A48="Totals",SUM(G$14:G47),IF($A48=" "," ",D48*($C$11/100)))</f>
        <v xml:space="preserve"> </v>
      </c>
      <c r="H48" s="95" t="str">
        <f>IF($A48="Totals",SUM(H$14:H47),IF($A48=" "," ",E48*($E$11/100)))</f>
        <v xml:space="preserve"> </v>
      </c>
      <c r="I48" s="95" t="str">
        <f>IF($A48="Totals",SUM(I$14:I47),IF($A48=" "," ",SUM(G48:H48)))</f>
        <v xml:space="preserve"> </v>
      </c>
      <c r="J48" s="95" t="str">
        <f>IF($A48="Totals",SUM(J$14:J47),IF($A48=" "," ",FV($G$11/100,$G$4-A48,0,-I48)))</f>
        <v xml:space="preserve"> 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  <c r="IV48" s="78"/>
    </row>
    <row r="49" spans="1:256">
      <c r="A49" s="77" t="str">
        <f>IF($A48="Totals"," ",IF(A48=" "," ",IF($A48='Compound Inv.'!$G$4,"Totals",$A48+1)))</f>
        <v xml:space="preserve"> </v>
      </c>
      <c r="B49" s="93" t="str">
        <f t="shared" si="1"/>
        <v xml:space="preserve"> </v>
      </c>
      <c r="C49" s="93" t="str">
        <f>IF($A49="Totals",SUM(C$14:C48),IF($A49=" "," ",$E$4))</f>
        <v xml:space="preserve"> </v>
      </c>
      <c r="D49" s="94" t="str">
        <f>IF($A49="Totals",SUM(D$14:D48),IF($A49=" "," ",$D48))</f>
        <v xml:space="preserve"> </v>
      </c>
      <c r="E49" s="94" t="str">
        <f>IF($A49="Totals",SUM(E$14:E48),IF($A49=" "," ",$E48))</f>
        <v xml:space="preserve"> </v>
      </c>
      <c r="F49" s="94" t="str">
        <f>IF($A49="Totals",SUM(F$14:F48),IF($A49=" "," ",($B49+$C49)*($G$8/100)))</f>
        <v xml:space="preserve"> </v>
      </c>
      <c r="G49" s="95" t="str">
        <f>IF($A49="Totals",SUM(G$14:G48),IF($A49=" "," ",D49*($C$11/100)))</f>
        <v xml:space="preserve"> </v>
      </c>
      <c r="H49" s="95" t="str">
        <f>IF($A49="Totals",SUM(H$14:H48),IF($A49=" "," ",E49*($E$11/100)))</f>
        <v xml:space="preserve"> </v>
      </c>
      <c r="I49" s="95" t="str">
        <f>IF($A49="Totals",SUM(I$14:I48),IF($A49=" "," ",SUM(G49:H49)))</f>
        <v xml:space="preserve"> </v>
      </c>
      <c r="J49" s="95" t="str">
        <f>IF($A49="Totals",SUM(J$14:J48),IF($A49=" "," ",FV($G$11/100,$G$4-A49,0,-I49)))</f>
        <v xml:space="preserve"> 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  <c r="IV49" s="78"/>
    </row>
    <row r="50" spans="1:256">
      <c r="A50" s="77" t="str">
        <f>IF($A49="Totals"," ",IF(A49=" "," ",IF($A49='Compound Inv.'!$G$4,"Totals",$A49+1)))</f>
        <v xml:space="preserve"> </v>
      </c>
      <c r="B50" s="93" t="str">
        <f t="shared" si="1"/>
        <v xml:space="preserve"> </v>
      </c>
      <c r="C50" s="93" t="str">
        <f>IF($A50="Totals",SUM(C$14:C49),IF($A50=" "," ",$E$4))</f>
        <v xml:space="preserve"> </v>
      </c>
      <c r="D50" s="94" t="str">
        <f>IF($A50="Totals",SUM(D$14:D49),IF($A50=" "," ",$D49))</f>
        <v xml:space="preserve"> </v>
      </c>
      <c r="E50" s="94" t="str">
        <f>IF($A50="Totals",SUM(E$14:E49),IF($A50=" "," ",$E49))</f>
        <v xml:space="preserve"> </v>
      </c>
      <c r="F50" s="94" t="str">
        <f>IF($A50="Totals",SUM(F$14:F49),IF($A50=" "," ",($B50+$C50)*($G$8/100)))</f>
        <v xml:space="preserve"> </v>
      </c>
      <c r="G50" s="95" t="str">
        <f>IF($A50="Totals",SUM(G$14:G49),IF($A50=" "," ",D50*($C$11/100)))</f>
        <v xml:space="preserve"> </v>
      </c>
      <c r="H50" s="95" t="str">
        <f>IF($A50="Totals",SUM(H$14:H49),IF($A50=" "," ",E50*($E$11/100)))</f>
        <v xml:space="preserve"> </v>
      </c>
      <c r="I50" s="95" t="str">
        <f>IF($A50="Totals",SUM(I$14:I49),IF($A50=" "," ",SUM(G50:H50)))</f>
        <v xml:space="preserve"> </v>
      </c>
      <c r="J50" s="95" t="str">
        <f>IF($A50="Totals",SUM(J$14:J49),IF($A50=" "," ",FV($G$11/100,$G$4-A50,0,-I50)))</f>
        <v xml:space="preserve"> 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  <c r="IV50" s="78"/>
    </row>
    <row r="51" spans="1:256">
      <c r="A51" s="77" t="str">
        <f>IF($A50="Totals"," ",IF(A50=" "," ",IF($A50='Compound Inv.'!$G$4,"Totals",$A50+1)))</f>
        <v xml:space="preserve"> </v>
      </c>
      <c r="B51" s="93" t="str">
        <f t="shared" si="1"/>
        <v xml:space="preserve"> </v>
      </c>
      <c r="C51" s="93" t="str">
        <f>IF($A51="Totals",SUM(C$14:C50),IF($A51=" "," ",$E$4))</f>
        <v xml:space="preserve"> </v>
      </c>
      <c r="D51" s="94" t="str">
        <f>IF($A51="Totals",SUM(D$14:D50),IF($A51=" "," ",$D50))</f>
        <v xml:space="preserve"> </v>
      </c>
      <c r="E51" s="94" t="str">
        <f>IF($A51="Totals",SUM(E$14:E50),IF($A51=" "," ",$E50))</f>
        <v xml:space="preserve"> </v>
      </c>
      <c r="F51" s="94" t="str">
        <f>IF($A51="Totals",SUM(F$14:F50),IF($A51=" "," ",($B51+$C51)*($G$8/100)))</f>
        <v xml:space="preserve"> </v>
      </c>
      <c r="G51" s="95" t="str">
        <f>IF($A51="Totals",SUM(G$14:G50),IF($A51=" "," ",D51*($C$11/100)))</f>
        <v xml:space="preserve"> </v>
      </c>
      <c r="H51" s="95" t="str">
        <f>IF($A51="Totals",SUM(H$14:H50),IF($A51=" "," ",E51*($E$11/100)))</f>
        <v xml:space="preserve"> </v>
      </c>
      <c r="I51" s="95" t="str">
        <f>IF($A51="Totals",SUM(I$14:I50),IF($A51=" "," ",SUM(G51:H51)))</f>
        <v xml:space="preserve"> </v>
      </c>
      <c r="J51" s="95" t="str">
        <f>IF($A51="Totals",SUM(J$14:J50),IF($A51=" "," ",FV($G$11/100,$G$4-A51,0,-I51)))</f>
        <v xml:space="preserve"> </v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  <c r="IV51" s="78"/>
    </row>
    <row r="52" spans="1:256">
      <c r="A52" s="77" t="str">
        <f>IF($A51="Totals"," ",IF(A51=" "," ",IF($A51='Compound Inv.'!$G$4,"Totals",$A51+1)))</f>
        <v xml:space="preserve"> </v>
      </c>
      <c r="B52" s="93" t="str">
        <f t="shared" si="1"/>
        <v xml:space="preserve"> </v>
      </c>
      <c r="C52" s="93" t="str">
        <f>IF($A52="Totals",SUM(C$14:C51),IF($A52=" "," ",$E$4))</f>
        <v xml:space="preserve"> </v>
      </c>
      <c r="D52" s="94" t="str">
        <f>IF($A52="Totals",SUM(D$14:D51),IF($A52=" "," ",$D51))</f>
        <v xml:space="preserve"> </v>
      </c>
      <c r="E52" s="94" t="str">
        <f>IF($A52="Totals",SUM(E$14:E51),IF($A52=" "," ",$E51))</f>
        <v xml:space="preserve"> </v>
      </c>
      <c r="F52" s="94" t="str">
        <f>IF($A52="Totals",SUM(F$14:F51),IF($A52=" "," ",($B52+$C52)*($G$8/100)))</f>
        <v xml:space="preserve"> </v>
      </c>
      <c r="G52" s="95" t="str">
        <f>IF($A52="Totals",SUM(G$14:G51),IF($A52=" "," ",D52*($C$11/100)))</f>
        <v xml:space="preserve"> </v>
      </c>
      <c r="H52" s="95" t="str">
        <f>IF($A52="Totals",SUM(H$14:H51),IF($A52=" "," ",E52*($E$11/100)))</f>
        <v xml:space="preserve"> </v>
      </c>
      <c r="I52" s="95" t="str">
        <f>IF($A52="Totals",SUM(I$14:I51),IF($A52=" "," ",SUM(G52:H52)))</f>
        <v xml:space="preserve"> </v>
      </c>
      <c r="J52" s="95" t="str">
        <f>IF($A52="Totals",SUM(J$14:J51),IF($A52=" "," ",FV($G$11/100,$G$4-A52,0,-I52)))</f>
        <v xml:space="preserve"> 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  <c r="IV52" s="78"/>
    </row>
    <row r="53" spans="1:256">
      <c r="A53" s="77" t="str">
        <f>IF($A52="Totals"," ",IF(A52=" "," ",IF($A52='Compound Inv.'!$G$4,"Totals",$A52+1)))</f>
        <v xml:space="preserve"> </v>
      </c>
      <c r="B53" s="93" t="str">
        <f t="shared" si="1"/>
        <v xml:space="preserve"> </v>
      </c>
      <c r="C53" s="93" t="str">
        <f>IF($A53="Totals",SUM(C$14:C52),IF($A53=" "," ",$E$4))</f>
        <v xml:space="preserve"> </v>
      </c>
      <c r="D53" s="94" t="str">
        <f>IF($A53="Totals",SUM(D$14:D52),IF($A53=" "," ",$D52))</f>
        <v xml:space="preserve"> </v>
      </c>
      <c r="E53" s="94" t="str">
        <f>IF($A53="Totals",SUM(E$14:E52),IF($A53=" "," ",$E52))</f>
        <v xml:space="preserve"> </v>
      </c>
      <c r="F53" s="94" t="str">
        <f>IF($A53="Totals",SUM(F$14:F52),IF($A53=" "," ",($B53+$C53)*($G$8/100)))</f>
        <v xml:space="preserve"> </v>
      </c>
      <c r="G53" s="95" t="str">
        <f>IF($A53="Totals",SUM(G$14:G52),IF($A53=" "," ",D53*($C$11/100)))</f>
        <v xml:space="preserve"> </v>
      </c>
      <c r="H53" s="95" t="str">
        <f>IF($A53="Totals",SUM(H$14:H52),IF($A53=" "," ",E53*($E$11/100)))</f>
        <v xml:space="preserve"> </v>
      </c>
      <c r="I53" s="95" t="str">
        <f>IF($A53="Totals",SUM(I$14:I52),IF($A53=" "," ",SUM(G53:H53)))</f>
        <v xml:space="preserve"> </v>
      </c>
      <c r="J53" s="95" t="str">
        <f>IF($A53="Totals",SUM(J$14:J52),IF($A53=" "," ",FV($G$11/100,$G$4-A53,0,-I53)))</f>
        <v xml:space="preserve"> 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  <c r="IV53" s="78"/>
    </row>
    <row r="54" spans="1:256">
      <c r="A54" s="77" t="str">
        <f>IF($A53="Totals"," ",IF(A53=" "," ",IF($A53='Compound Inv.'!$G$4,"Totals",$A53+1)))</f>
        <v xml:space="preserve"> </v>
      </c>
      <c r="B54" s="93" t="str">
        <f t="shared" si="1"/>
        <v xml:space="preserve"> </v>
      </c>
      <c r="C54" s="93" t="str">
        <f>IF($A54="Totals",SUM(C$14:C53),IF($A54=" "," ",$E$4))</f>
        <v xml:space="preserve"> </v>
      </c>
      <c r="D54" s="94" t="str">
        <f>IF($A54="Totals",SUM(D$14:D53),IF($A54=" "," ",$D53))</f>
        <v xml:space="preserve"> </v>
      </c>
      <c r="E54" s="94" t="str">
        <f>IF($A54="Totals",SUM(E$14:E53),IF($A54=" "," ",$E53))</f>
        <v xml:space="preserve"> </v>
      </c>
      <c r="F54" s="94" t="str">
        <f>IF($A54="Totals",SUM(F$14:F53),IF($A54=" "," ",($B54+$C54)*($G$8/100)))</f>
        <v xml:space="preserve"> </v>
      </c>
      <c r="G54" s="95" t="str">
        <f>IF($A54="Totals",SUM(G$14:G53),IF($A54=" "," ",D54*($C$11/100)))</f>
        <v xml:space="preserve"> </v>
      </c>
      <c r="H54" s="95" t="str">
        <f>IF($A54="Totals",SUM(H$14:H53),IF($A54=" "," ",E54*($E$11/100)))</f>
        <v xml:space="preserve"> </v>
      </c>
      <c r="I54" s="95" t="str">
        <f>IF($A54="Totals",SUM(I$14:I53),IF($A54=" "," ",SUM(G54:H54)))</f>
        <v xml:space="preserve"> </v>
      </c>
      <c r="J54" s="95" t="str">
        <f>IF($A54="Totals",SUM(J$14:J53),IF($A54=" "," ",FV($G$11/100,$G$4-A54,0,-I54)))</f>
        <v xml:space="preserve"> 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  <c r="IU54" s="78"/>
      <c r="IV54" s="78"/>
    </row>
    <row r="55" spans="1:256">
      <c r="A55" s="77" t="str">
        <f>IF($A54="Totals"," ",IF(A54=" "," ",IF($A54='Compound Inv.'!$G$4,"Totals",$A54+1)))</f>
        <v xml:space="preserve"> </v>
      </c>
      <c r="B55" s="93" t="str">
        <f t="shared" si="1"/>
        <v xml:space="preserve"> </v>
      </c>
      <c r="C55" s="93" t="str">
        <f>IF($A55="Totals",SUM(C$14:C54),IF($A55=" "," ",$E$4))</f>
        <v xml:space="preserve"> </v>
      </c>
      <c r="D55" s="94" t="str">
        <f>IF($A55="Totals",SUM(D$14:D54),IF($A55=" "," ",$D54))</f>
        <v xml:space="preserve"> </v>
      </c>
      <c r="E55" s="94" t="str">
        <f>IF($A55="Totals",SUM(E$14:E54),IF($A55=" "," ",$E54))</f>
        <v xml:space="preserve"> </v>
      </c>
      <c r="F55" s="94" t="str">
        <f>IF($A55="Totals",SUM(F$14:F54),IF($A55=" "," ",($B55+$C55)*($G$8/100)))</f>
        <v xml:space="preserve"> </v>
      </c>
      <c r="G55" s="95" t="str">
        <f>IF($A55="Totals",SUM(G$14:G54),IF($A55=" "," ",D55*($C$11/100)))</f>
        <v xml:space="preserve"> </v>
      </c>
      <c r="H55" s="95" t="str">
        <f>IF($A55="Totals",SUM(H$14:H54),IF($A55=" "," ",E55*($E$11/100)))</f>
        <v xml:space="preserve"> </v>
      </c>
      <c r="I55" s="95" t="str">
        <f>IF($A55="Totals",SUM(I$14:I54),IF($A55=" "," ",SUM(G55:H55)))</f>
        <v xml:space="preserve"> </v>
      </c>
      <c r="J55" s="95" t="str">
        <f>IF($A55="Totals",SUM(J$14:J54),IF($A55=" "," ",FV($G$11/100,$G$4-A55,0,-I55)))</f>
        <v xml:space="preserve"> 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78"/>
    </row>
    <row r="56" spans="1:256">
      <c r="A56" s="77" t="str">
        <f>IF($A55="Totals"," ",IF(A55=" "," ",IF($A55='Compound Inv.'!$G$4,"Totals",$A55+1)))</f>
        <v xml:space="preserve"> </v>
      </c>
      <c r="B56" s="93" t="str">
        <f t="shared" si="1"/>
        <v xml:space="preserve"> </v>
      </c>
      <c r="C56" s="93" t="str">
        <f>IF($A56="Totals",SUM(C$14:C55),IF($A56=" "," ",$E$4))</f>
        <v xml:space="preserve"> </v>
      </c>
      <c r="D56" s="94" t="str">
        <f>IF($A56="Totals",SUM(D$14:D55),IF($A56=" "," ",$D55))</f>
        <v xml:space="preserve"> </v>
      </c>
      <c r="E56" s="94" t="str">
        <f>IF($A56="Totals",SUM(E$14:E55),IF($A56=" "," ",$E55))</f>
        <v xml:space="preserve"> </v>
      </c>
      <c r="F56" s="94" t="str">
        <f>IF($A56="Totals",SUM(F$14:F55),IF($A56=" "," ",($B56+$C56)*($G$8/100)))</f>
        <v xml:space="preserve"> </v>
      </c>
      <c r="G56" s="95" t="str">
        <f>IF($A56="Totals",SUM(G$14:G55),IF($A56=" "," ",D56*($C$11/100)))</f>
        <v xml:space="preserve"> </v>
      </c>
      <c r="H56" s="95" t="str">
        <f>IF($A56="Totals",SUM(H$14:H55),IF($A56=" "," ",E56*($E$11/100)))</f>
        <v xml:space="preserve"> </v>
      </c>
      <c r="I56" s="95" t="str">
        <f>IF($A56="Totals",SUM(I$14:I55),IF($A56=" "," ",SUM(G56:H56)))</f>
        <v xml:space="preserve"> </v>
      </c>
      <c r="J56" s="95" t="str">
        <f>IF($A56="Totals",SUM(J$14:J55),IF($A56=" "," ",FV($G$11/100,$G$4-A56,0,-I56)))</f>
        <v xml:space="preserve"> </v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</row>
    <row r="57" spans="1:256">
      <c r="A57" s="77" t="str">
        <f>IF($A56="Totals"," ",IF(A56=" "," ",IF($A56='Compound Inv.'!$G$4,"Totals",$A56+1)))</f>
        <v xml:space="preserve"> </v>
      </c>
      <c r="B57" s="93" t="str">
        <f t="shared" si="1"/>
        <v xml:space="preserve"> </v>
      </c>
      <c r="C57" s="93" t="str">
        <f>IF($A57="Totals",SUM(C$14:C56),IF($A57=" "," ",$E$4))</f>
        <v xml:space="preserve"> </v>
      </c>
      <c r="D57" s="94" t="str">
        <f>IF($A57="Totals",SUM(D$14:D56),IF($A57=" "," ",$D56))</f>
        <v xml:space="preserve"> </v>
      </c>
      <c r="E57" s="94" t="str">
        <f>IF($A57="Totals",SUM(E$14:E56),IF($A57=" "," ",$D56))</f>
        <v xml:space="preserve"> </v>
      </c>
      <c r="F57" s="94" t="str">
        <f>IF($A57="Totals",SUM(F$14:F56),IF($A57=" "," ",($B57+$C57)*($G$8/100)))</f>
        <v xml:space="preserve"> </v>
      </c>
      <c r="G57" s="95" t="str">
        <f>IF($A57="Totals",SUM(G$14:G56),IF($A57=" "," ",D57*($C$11/100)))</f>
        <v xml:space="preserve"> </v>
      </c>
      <c r="H57" s="95" t="str">
        <f>IF($A57="Totals",SUM(H$14:H56),IF($A57=" "," ",E57*($E$11/100)))</f>
        <v xml:space="preserve"> </v>
      </c>
      <c r="I57" s="95" t="str">
        <f>IF($A57="Totals",SUM(I$14:I56),IF($A57=" "," ",SUM(G57:H57)))</f>
        <v xml:space="preserve"> </v>
      </c>
      <c r="J57" s="95" t="str">
        <f>IF($A57="Totals",SUM(J$14:J56),IF($A57=" "," ",FV($G$11/100,$G$4-A57,0,-I57)))</f>
        <v xml:space="preserve"> 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</row>
    <row r="58" spans="1:256">
      <c r="A58" s="77" t="str">
        <f>IF($A57="Totals"," ",IF(A57=" "," ",IF($A57='Compound Inv.'!$G$4,"Totals",$A57+1)))</f>
        <v xml:space="preserve"> </v>
      </c>
      <c r="B58" s="93" t="str">
        <f t="shared" si="1"/>
        <v xml:space="preserve"> </v>
      </c>
      <c r="C58" s="93" t="str">
        <f>IF($A58="Totals",SUM(C$14:C57),IF($A58=" "," ",$E$4))</f>
        <v xml:space="preserve"> </v>
      </c>
      <c r="D58" s="94" t="str">
        <f>IF($A58="Totals",SUM(D$14:D57),IF($A58=" "," ",$D57))</f>
        <v xml:space="preserve"> </v>
      </c>
      <c r="E58" s="94" t="str">
        <f>IF($A58="Totals",SUM(E$14:E57),IF($A58=" "," ",$D57))</f>
        <v xml:space="preserve"> </v>
      </c>
      <c r="F58" s="94" t="str">
        <f>IF($A58="Totals",SUM(F$14:F57),IF($A58=" "," ",($B58+$C58)*($G$8/100)))</f>
        <v xml:space="preserve"> </v>
      </c>
      <c r="G58" s="95" t="str">
        <f>IF($A58="Totals",SUM(G$14:G57),IF($A58=" "," ",D58*($C$11/100)))</f>
        <v xml:space="preserve"> </v>
      </c>
      <c r="H58" s="95" t="str">
        <f>IF($A58="Totals",SUM(H$14:H57),IF($A58=" "," ",E58*($E$11/100)))</f>
        <v xml:space="preserve"> </v>
      </c>
      <c r="I58" s="95" t="str">
        <f>IF($A58="Totals",SUM(I$14:I57),IF($A58=" "," ",SUM(G58:H58)))</f>
        <v xml:space="preserve"> </v>
      </c>
      <c r="J58" s="95" t="str">
        <f>IF($A58="Totals",SUM(J$14:J57),IF($A58=" "," ",FV($G$11/100,$G$4-A58,0,-I58)))</f>
        <v xml:space="preserve"> 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</row>
    <row r="59" spans="1:256">
      <c r="A59" s="77" t="str">
        <f>IF($A58="Totals"," ",IF(A58=" "," ",IF($A58='Compound Inv.'!$G$4,"Totals",$A58+1)))</f>
        <v xml:space="preserve"> </v>
      </c>
      <c r="B59" s="93" t="str">
        <f t="shared" si="1"/>
        <v xml:space="preserve"> </v>
      </c>
      <c r="C59" s="93" t="str">
        <f>IF($A59="Totals",SUM(C$14:C58),IF($A59=" "," ",$E$4))</f>
        <v xml:space="preserve"> </v>
      </c>
      <c r="D59" s="94" t="str">
        <f>IF($A59="Totals",SUM(D$14:D58),IF($A59=" "," ",$D58))</f>
        <v xml:space="preserve"> </v>
      </c>
      <c r="E59" s="94" t="str">
        <f>IF($A59="Totals",SUM(E$14:E58),IF($A59=" "," ",$D58))</f>
        <v xml:space="preserve"> </v>
      </c>
      <c r="F59" s="94" t="str">
        <f>IF($A59="Totals",SUM(F$14:F58),IF($A59=" "," ",($B59+$C59)*($G$8/100)))</f>
        <v xml:space="preserve"> </v>
      </c>
      <c r="G59" s="95" t="str">
        <f>IF($A59="Totals",SUM(G$14:G58),IF($A59=" "," ",D59*($C$11/100)))</f>
        <v xml:space="preserve"> </v>
      </c>
      <c r="H59" s="95" t="str">
        <f>IF($A59="Totals",SUM(H$14:H58),IF($A59=" "," ",E59*($E$11/100)))</f>
        <v xml:space="preserve"> </v>
      </c>
      <c r="I59" s="95" t="str">
        <f>IF($A59="Totals",SUM(I$14:I58),IF($A59=" "," ",SUM(G59:H59)))</f>
        <v xml:space="preserve"> </v>
      </c>
      <c r="J59" s="95" t="str">
        <f>IF($A59="Totals",SUM(J$14:J58),IF($A59=" "," ",FV($G$11/100,$G$4-A59,0,-I59)))</f>
        <v xml:space="preserve"> 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</row>
    <row r="60" spans="1:256">
      <c r="A60" s="77" t="str">
        <f>IF($A59="Totals"," ",IF(A59=" "," ",IF($A59='Compound Inv.'!$G$4,"Totals",$A59+1)))</f>
        <v xml:space="preserve"> </v>
      </c>
      <c r="B60" s="93" t="str">
        <f t="shared" si="1"/>
        <v xml:space="preserve"> </v>
      </c>
      <c r="C60" s="93" t="str">
        <f>IF($A60="Totals",SUM(C$14:C59),IF($A60=" "," ",$E$4))</f>
        <v xml:space="preserve"> </v>
      </c>
      <c r="D60" s="94" t="str">
        <f>IF($A60="Totals",SUM(D$14:D59),IF($A60=" "," ",$D59))</f>
        <v xml:space="preserve"> </v>
      </c>
      <c r="E60" s="94" t="str">
        <f>IF($A60="Totals",SUM(E$14:E59),IF($A60=" "," ",$D59))</f>
        <v xml:space="preserve"> </v>
      </c>
      <c r="F60" s="94" t="str">
        <f>IF($A60="Totals",SUM(F$14:F59),IF($A60=" "," ",($B60+$C60)*($G$8/100)))</f>
        <v xml:space="preserve"> </v>
      </c>
      <c r="G60" s="95" t="str">
        <f>IF($A60="Totals",SUM(G$14:G59),IF($A60=" "," ",D60*($C$11/100)))</f>
        <v xml:space="preserve"> </v>
      </c>
      <c r="H60" s="95" t="str">
        <f>IF($A60="Totals",SUM(H$14:H59),IF($A60=" "," ",E60*($E$11/100)))</f>
        <v xml:space="preserve"> </v>
      </c>
      <c r="I60" s="95" t="str">
        <f>IF($A60="Totals",SUM(I$14:I59),IF($A60=" "," ",SUM(G60:H60)))</f>
        <v xml:space="preserve"> </v>
      </c>
      <c r="J60" s="95" t="str">
        <f>IF($A60="Totals",SUM(J$14:J59),IF($A60=" "," ",FV($G$11/100,$G$4-A60,0,-I60)))</f>
        <v xml:space="preserve"> 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  <c r="IV60" s="78"/>
    </row>
    <row r="61" spans="1:256">
      <c r="A61" s="77" t="str">
        <f>IF($A60="Totals"," ",IF(A60=" "," ",IF($A60='Compound Inv.'!$G$4,"Totals",$A60+1)))</f>
        <v xml:space="preserve"> </v>
      </c>
      <c r="B61" s="93" t="str">
        <f t="shared" si="1"/>
        <v xml:space="preserve"> </v>
      </c>
      <c r="C61" s="93" t="str">
        <f>IF($A61="Totals",SUM(C$14:C60),IF($A61=" "," ",$E$4))</f>
        <v xml:space="preserve"> </v>
      </c>
      <c r="D61" s="94" t="str">
        <f>IF($A61="Totals",SUM(D$14:D60),IF($A61=" "," ",$D60))</f>
        <v xml:space="preserve"> </v>
      </c>
      <c r="E61" s="94" t="str">
        <f>IF($A61="Totals",SUM(E$14:E60),IF($A61=" "," ",$D60))</f>
        <v xml:space="preserve"> </v>
      </c>
      <c r="F61" s="94" t="str">
        <f>IF($A61="Totals",SUM(F$14:F60),IF($A61=" "," ",($B61+$C61)*($G$8/100)))</f>
        <v xml:space="preserve"> </v>
      </c>
      <c r="G61" s="95" t="str">
        <f>IF($A61="Totals",SUM(G$14:G60),IF($A61=" "," ",D61*($C$11/100)))</f>
        <v xml:space="preserve"> </v>
      </c>
      <c r="H61" s="95" t="str">
        <f>IF($A61="Totals",SUM(H$14:H60),IF($A61=" "," ",E61*($E$11/100)))</f>
        <v xml:space="preserve"> </v>
      </c>
      <c r="I61" s="95" t="str">
        <f>IF($A61="Totals",SUM(I$14:I60),IF($A61=" "," ",SUM(G61:H61)))</f>
        <v xml:space="preserve"> </v>
      </c>
      <c r="J61" s="95" t="str">
        <f>IF($A61="Totals",SUM(J$14:J60),IF($A61=" "," ",FV($G$11/100,$G$4-A61,0,-I61)))</f>
        <v xml:space="preserve"> 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  <c r="IV61" s="78"/>
    </row>
    <row r="62" spans="1:256">
      <c r="A62" s="77" t="str">
        <f>IF($A61="Totals"," ",IF(A61=" "," ",IF($A61='Compound Inv.'!$G$4,"Totals",$A61+1)))</f>
        <v xml:space="preserve"> </v>
      </c>
      <c r="B62" s="93" t="str">
        <f t="shared" si="1"/>
        <v xml:space="preserve"> </v>
      </c>
      <c r="C62" s="93" t="str">
        <f>IF($A62="Totals",SUM(C$14:C61),IF($A62=" "," ",$E$4))</f>
        <v xml:space="preserve"> </v>
      </c>
      <c r="D62" s="94" t="str">
        <f>IF($A62="Totals",SUM(D$14:D61),IF($A62=" "," ",$D61))</f>
        <v xml:space="preserve"> </v>
      </c>
      <c r="E62" s="94" t="str">
        <f>IF($A62="Totals",SUM(E$14:E61),IF($A62=" "," ",$D61))</f>
        <v xml:space="preserve"> </v>
      </c>
      <c r="F62" s="94" t="str">
        <f>IF($A62="Totals",SUM(F$14:F61),IF($A62=" "," ",($B62+$C62)*($G$8/100)))</f>
        <v xml:space="preserve"> </v>
      </c>
      <c r="G62" s="95" t="str">
        <f>IF($A62="Totals",SUM(G$14:G61),IF($A62=" "," ",D62*($C$11/100)))</f>
        <v xml:space="preserve"> </v>
      </c>
      <c r="H62" s="95" t="str">
        <f>IF($A62="Totals",SUM(H$14:H61),IF($A62=" "," ",E62*($E$11/100)))</f>
        <v xml:space="preserve"> </v>
      </c>
      <c r="I62" s="95" t="str">
        <f>IF($A62="Totals",SUM(I$14:I61),IF($A62=" "," ",SUM(G62:H62)))</f>
        <v xml:space="preserve"> </v>
      </c>
      <c r="J62" s="95" t="str">
        <f>IF($A62="Totals",SUM(J$14:J61),IF($A62=" "," ",FV($G$11/100,$G$4-A62,0,-I62)))</f>
        <v xml:space="preserve"> 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  <c r="IU62" s="78"/>
      <c r="IV62" s="78"/>
    </row>
    <row r="63" spans="1:256">
      <c r="A63" s="77" t="str">
        <f>IF($A62="Totals"," ",IF(A62=" "," ",IF($A62='Compound Inv.'!$G$4,"Totals",$A62+1)))</f>
        <v xml:space="preserve"> </v>
      </c>
      <c r="B63" s="93" t="str">
        <f t="shared" si="1"/>
        <v xml:space="preserve"> </v>
      </c>
      <c r="C63" s="93" t="str">
        <f>IF($A63="Totals",SUM(C$14:C62),IF($A63=" "," ",$E$4))</f>
        <v xml:space="preserve"> </v>
      </c>
      <c r="D63" s="94" t="str">
        <f>IF($A63="Totals",SUM(D$14:D62),IF($A63=" "," ",$D62))</f>
        <v xml:space="preserve"> </v>
      </c>
      <c r="E63" s="94" t="str">
        <f>IF($A63="Totals",SUM(E$14:E62),IF($A63=" "," ",$D62))</f>
        <v xml:space="preserve"> </v>
      </c>
      <c r="F63" s="94" t="str">
        <f>IF($A63="Totals",SUM(F$14:F62),IF($A63=" "," ",($B63+$C63)*($G$8/100)))</f>
        <v xml:space="preserve"> </v>
      </c>
      <c r="G63" s="95" t="str">
        <f>IF($A63="Totals",SUM(G$14:G62),IF($A63=" "," ",D63*($C$11/100)))</f>
        <v xml:space="preserve"> </v>
      </c>
      <c r="H63" s="95" t="str">
        <f>IF($A63="Totals",SUM(H$14:H62),IF($A63=" "," ",E63*($E$11/100)))</f>
        <v xml:space="preserve"> </v>
      </c>
      <c r="I63" s="95" t="str">
        <f>IF($A63="Totals",SUM(I$14:I62),IF($A63=" "," ",SUM(G63:H63)))</f>
        <v xml:space="preserve"> </v>
      </c>
      <c r="J63" s="95" t="str">
        <f>IF($A63="Totals",SUM(J$14:J62),IF($A63=" "," ",FV($G$11/100,$G$4-A63,0,-I63)))</f>
        <v xml:space="preserve"> 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</row>
    <row r="64" spans="1:256">
      <c r="A64" s="77" t="str">
        <f>IF($A63="Totals"," ",IF(A63=" "," ",IF($A63='Compound Inv.'!$G$4,"Totals",$A63+1)))</f>
        <v xml:space="preserve"> </v>
      </c>
      <c r="B64" s="93" t="str">
        <f t="shared" si="1"/>
        <v xml:space="preserve"> </v>
      </c>
      <c r="C64" s="93" t="str">
        <f>IF($A64="Totals",SUM(C$14:C63),IF($A64=" "," ",$E$4))</f>
        <v xml:space="preserve"> </v>
      </c>
      <c r="D64" s="94" t="str">
        <f>IF($A64="Totals",SUM(D$14:D63),IF($A64=" "," ",$D63))</f>
        <v xml:space="preserve"> </v>
      </c>
      <c r="E64" s="94" t="str">
        <f>IF($A64="Totals",SUM(E$14:E63),IF($A64=" "," ",$D63))</f>
        <v xml:space="preserve"> </v>
      </c>
      <c r="F64" s="94" t="str">
        <f>IF($A64="Totals",SUM(F$14:F63),IF($A64=" "," ",($B64+$C64)*($G$8/100)))</f>
        <v xml:space="preserve"> </v>
      </c>
      <c r="G64" s="95" t="str">
        <f>IF($A64="Totals",SUM(G$14:G63),IF($A64=" "," ",D64*($C$11/100)))</f>
        <v xml:space="preserve"> </v>
      </c>
      <c r="H64" s="95" t="str">
        <f>IF($A64="Totals",SUM(H$14:H63),IF($A64=" "," ",E64*($E$11/100)))</f>
        <v xml:space="preserve"> </v>
      </c>
      <c r="I64" s="95" t="str">
        <f>IF($A64="Totals",SUM(I$14:I63),IF($A64=" "," ",SUM(G64:H64)))</f>
        <v xml:space="preserve"> </v>
      </c>
      <c r="J64" s="95" t="str">
        <f>IF($A64="Totals",SUM(J$14:J63),IF($A64=" "," ",FV($G$11/100,$G$4-A64,0,-I64)))</f>
        <v xml:space="preserve"> 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</row>
    <row r="65" spans="1:256">
      <c r="A65" s="77" t="str">
        <f>IF($A64="Totals"," ",IF(A64=" "," ",IF($A64='Compound Inv.'!$G$4,"Totals",$A64+1)))</f>
        <v xml:space="preserve"> </v>
      </c>
      <c r="B65" s="93" t="str">
        <f t="shared" si="1"/>
        <v xml:space="preserve"> </v>
      </c>
      <c r="C65" s="93" t="str">
        <f>IF($A65="Totals",SUM(C$14:C64),IF($A65=" "," ",'Compound Inv.'!$E$4))</f>
        <v xml:space="preserve"> </v>
      </c>
      <c r="D65" s="94" t="str">
        <f>IF($A65="Totals",SUM(D$14:D64),IF($A65=" "," ",$D64))</f>
        <v xml:space="preserve"> </v>
      </c>
      <c r="E65" s="94" t="str">
        <f>IF($A65="Totals",SUM(E$14:E64),IF($A65=" "," ",$D64))</f>
        <v xml:space="preserve"> </v>
      </c>
      <c r="F65" s="94" t="str">
        <f>IF($A65="Totals",SUM(F$14:F64),IF($A65=" "," ",($B65+$C65)*($G$8/100)))</f>
        <v xml:space="preserve"> </v>
      </c>
      <c r="G65" s="95" t="str">
        <f>IF($A65="Totals",SUM(G$14:G64),IF($A65=" "," ",D65*('Compound Inv.'!$C$11/100)))</f>
        <v xml:space="preserve"> </v>
      </c>
      <c r="H65" s="95" t="str">
        <f>IF($A65="Totals",SUM(H$14:H64),IF($A65=" "," ",E65*('Compound Inv.'!$E$11/100)))</f>
        <v xml:space="preserve"> </v>
      </c>
      <c r="I65" s="95" t="str">
        <f>IF($A65="Totals",SUM(I$14:I64),IF($A65=" "," ",SUM(G65:H65)))</f>
        <v xml:space="preserve"> </v>
      </c>
      <c r="J65" s="95" t="str">
        <f>IF($A65="Totals",SUM(J$14:J64),IF($A65=" "," ",FV($G$11/100,$G$4-A65,0,-I65)))</f>
        <v xml:space="preserve"> 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78"/>
      <c r="GH65" s="78"/>
      <c r="GI65" s="78"/>
      <c r="GJ65" s="78"/>
      <c r="GK65" s="78"/>
      <c r="GL65" s="78"/>
      <c r="GM65" s="78"/>
      <c r="GN65" s="78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8"/>
      <c r="HE65" s="78"/>
      <c r="HF65" s="78"/>
      <c r="HG65" s="78"/>
      <c r="HH65" s="78"/>
      <c r="HI65" s="78"/>
      <c r="HJ65" s="78"/>
      <c r="HK65" s="78"/>
      <c r="HL65" s="78"/>
      <c r="HM65" s="78"/>
      <c r="HN65" s="78"/>
      <c r="HO65" s="78"/>
      <c r="HP65" s="78"/>
      <c r="HQ65" s="78"/>
      <c r="HR65" s="78"/>
      <c r="HS65" s="78"/>
      <c r="HT65" s="78"/>
      <c r="HU65" s="78"/>
      <c r="HV65" s="78"/>
      <c r="HW65" s="78"/>
      <c r="HX65" s="78"/>
      <c r="HY65" s="78"/>
      <c r="HZ65" s="78"/>
      <c r="IA65" s="78"/>
      <c r="IB65" s="78"/>
      <c r="IC65" s="78"/>
      <c r="ID65" s="78"/>
      <c r="IE65" s="78"/>
      <c r="IF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  <c r="IT65" s="78"/>
      <c r="IU65" s="78"/>
      <c r="IV65" s="78"/>
    </row>
    <row r="66" spans="1:256">
      <c r="A66" s="77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  <c r="IV66" s="78"/>
    </row>
  </sheetData>
  <phoneticPr fontId="0" type="noConversion"/>
  <printOptions horizontalCentered="1"/>
  <pageMargins left="0.5" right="0.5" top="0.5" bottom="0.5" header="0.5" footer="0.5"/>
  <pageSetup scale="82" orientation="portrait" r:id="rId1"/>
  <headerFooter alignWithMargins="0">
    <oddFooter>&amp;L&amp;8&amp;D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40"/>
  <sheetViews>
    <sheetView workbookViewId="0">
      <selection activeCell="H3" sqref="H3"/>
    </sheetView>
  </sheetViews>
  <sheetFormatPr defaultRowHeight="15"/>
  <cols>
    <col min="3" max="3" width="9.5546875" bestFit="1" customWidth="1"/>
    <col min="4" max="4" width="16.77734375" customWidth="1"/>
  </cols>
  <sheetData>
    <row r="2" spans="1:5" ht="23.25">
      <c r="A2" s="207" t="s">
        <v>92</v>
      </c>
      <c r="B2" s="207"/>
      <c r="C2" s="207"/>
      <c r="D2" s="207"/>
      <c r="E2" s="207"/>
    </row>
    <row r="4" spans="1:5">
      <c r="B4" t="s">
        <v>79</v>
      </c>
      <c r="C4" s="188">
        <v>112000</v>
      </c>
    </row>
    <row r="6" spans="1:5">
      <c r="B6" t="s">
        <v>80</v>
      </c>
      <c r="C6" s="186">
        <v>0.03</v>
      </c>
      <c r="D6" t="s">
        <v>94</v>
      </c>
    </row>
    <row r="8" spans="1:5">
      <c r="B8" t="s">
        <v>86</v>
      </c>
      <c r="C8" s="186">
        <v>0</v>
      </c>
    </row>
    <row r="10" spans="1:5" ht="15.75">
      <c r="B10" s="187" t="s">
        <v>20</v>
      </c>
      <c r="C10" s="187"/>
      <c r="D10" s="187" t="s">
        <v>78</v>
      </c>
    </row>
    <row r="11" spans="1:5">
      <c r="B11">
        <v>1</v>
      </c>
      <c r="D11" s="181">
        <f>C4*(1+$C$6-$C$8)</f>
        <v>115360</v>
      </c>
    </row>
    <row r="12" spans="1:5">
      <c r="B12">
        <v>2</v>
      </c>
      <c r="D12" s="181">
        <f>D11*(1+$C$6-$C$8)</f>
        <v>118820.8</v>
      </c>
    </row>
    <row r="13" spans="1:5">
      <c r="B13">
        <v>3</v>
      </c>
      <c r="D13" s="181">
        <f t="shared" ref="D13:D40" si="0">D12*(1+$C$6-$C$8)</f>
        <v>122385.424</v>
      </c>
    </row>
    <row r="14" spans="1:5">
      <c r="B14">
        <v>4</v>
      </c>
      <c r="D14" s="181">
        <f t="shared" si="0"/>
        <v>126056.98672</v>
      </c>
    </row>
    <row r="15" spans="1:5">
      <c r="B15">
        <v>5</v>
      </c>
      <c r="D15" s="181">
        <f t="shared" si="0"/>
        <v>129838.6963216</v>
      </c>
    </row>
    <row r="16" spans="1:5">
      <c r="B16">
        <v>6</v>
      </c>
      <c r="D16" s="181">
        <f t="shared" si="0"/>
        <v>133733.85721124802</v>
      </c>
    </row>
    <row r="17" spans="2:4">
      <c r="B17">
        <v>7</v>
      </c>
      <c r="D17" s="181">
        <f t="shared" si="0"/>
        <v>137745.87292758547</v>
      </c>
    </row>
    <row r="18" spans="2:4">
      <c r="B18">
        <v>8</v>
      </c>
      <c r="D18" s="181">
        <f t="shared" si="0"/>
        <v>141878.24911541303</v>
      </c>
    </row>
    <row r="19" spans="2:4">
      <c r="B19">
        <v>9</v>
      </c>
      <c r="D19" s="181">
        <f t="shared" si="0"/>
        <v>146134.59658887543</v>
      </c>
    </row>
    <row r="20" spans="2:4">
      <c r="B20">
        <v>10</v>
      </c>
      <c r="D20" s="181">
        <f t="shared" si="0"/>
        <v>150518.6344865417</v>
      </c>
    </row>
    <row r="21" spans="2:4">
      <c r="B21">
        <v>11</v>
      </c>
      <c r="D21" s="181">
        <f t="shared" si="0"/>
        <v>155034.19352113796</v>
      </c>
    </row>
    <row r="22" spans="2:4">
      <c r="B22">
        <v>12</v>
      </c>
      <c r="D22" s="181">
        <f t="shared" si="0"/>
        <v>159685.21932677212</v>
      </c>
    </row>
    <row r="23" spans="2:4">
      <c r="B23">
        <v>13</v>
      </c>
      <c r="D23" s="181">
        <f t="shared" si="0"/>
        <v>164475.77590657529</v>
      </c>
    </row>
    <row r="24" spans="2:4">
      <c r="B24">
        <v>14</v>
      </c>
      <c r="D24" s="181">
        <f t="shared" si="0"/>
        <v>169410.04918377256</v>
      </c>
    </row>
    <row r="25" spans="2:4">
      <c r="B25">
        <v>15</v>
      </c>
      <c r="D25" s="181">
        <f t="shared" si="0"/>
        <v>174492.35065928573</v>
      </c>
    </row>
    <row r="26" spans="2:4">
      <c r="B26">
        <v>16</v>
      </c>
      <c r="D26" s="181">
        <f t="shared" si="0"/>
        <v>179727.1211790643</v>
      </c>
    </row>
    <row r="27" spans="2:4">
      <c r="B27">
        <v>17</v>
      </c>
      <c r="D27" s="181">
        <f t="shared" si="0"/>
        <v>185118.93481443624</v>
      </c>
    </row>
    <row r="28" spans="2:4">
      <c r="B28">
        <v>18</v>
      </c>
      <c r="D28" s="181">
        <f t="shared" si="0"/>
        <v>190672.50285886932</v>
      </c>
    </row>
    <row r="29" spans="2:4">
      <c r="B29">
        <v>19</v>
      </c>
      <c r="D29" s="181">
        <f t="shared" si="0"/>
        <v>196392.67794463542</v>
      </c>
    </row>
    <row r="30" spans="2:4">
      <c r="B30">
        <v>20</v>
      </c>
      <c r="D30" s="181">
        <f t="shared" si="0"/>
        <v>202284.45828297449</v>
      </c>
    </row>
    <row r="31" spans="2:4">
      <c r="B31">
        <v>21</v>
      </c>
      <c r="D31" s="181">
        <f t="shared" si="0"/>
        <v>208352.99203146374</v>
      </c>
    </row>
    <row r="32" spans="2:4">
      <c r="B32">
        <v>22</v>
      </c>
      <c r="D32" s="181">
        <f t="shared" si="0"/>
        <v>214603.58179240767</v>
      </c>
    </row>
    <row r="33" spans="2:4">
      <c r="B33">
        <v>23</v>
      </c>
      <c r="D33" s="181">
        <f t="shared" si="0"/>
        <v>221041.68924617991</v>
      </c>
    </row>
    <row r="34" spans="2:4">
      <c r="B34">
        <v>24</v>
      </c>
      <c r="D34" s="181">
        <f t="shared" si="0"/>
        <v>227672.93992356531</v>
      </c>
    </row>
    <row r="35" spans="2:4">
      <c r="B35">
        <v>25</v>
      </c>
      <c r="D35" s="181">
        <f t="shared" si="0"/>
        <v>234503.12812127228</v>
      </c>
    </row>
    <row r="36" spans="2:4">
      <c r="B36">
        <v>26</v>
      </c>
      <c r="D36" s="181">
        <f t="shared" si="0"/>
        <v>241538.22196491045</v>
      </c>
    </row>
    <row r="37" spans="2:4">
      <c r="B37">
        <v>27</v>
      </c>
      <c r="D37" s="181">
        <f t="shared" si="0"/>
        <v>248784.36862385776</v>
      </c>
    </row>
    <row r="38" spans="2:4">
      <c r="B38">
        <v>28</v>
      </c>
      <c r="D38" s="181">
        <f t="shared" si="0"/>
        <v>256247.89968257351</v>
      </c>
    </row>
    <row r="39" spans="2:4">
      <c r="B39">
        <v>29</v>
      </c>
      <c r="D39" s="181">
        <f t="shared" si="0"/>
        <v>263935.33667305071</v>
      </c>
    </row>
    <row r="40" spans="2:4">
      <c r="B40">
        <v>30</v>
      </c>
      <c r="D40" s="181">
        <f t="shared" si="0"/>
        <v>271853.39677324222</v>
      </c>
    </row>
  </sheetData>
  <mergeCells count="1">
    <mergeCell ref="A2:E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N40" sqref="N40"/>
    </sheetView>
  </sheetViews>
  <sheetFormatPr defaultRowHeight="15"/>
  <cols>
    <col min="1" max="1" width="3.6640625" customWidth="1"/>
    <col min="3" max="3" width="13.109375" customWidth="1"/>
    <col min="4" max="4" width="7.6640625" customWidth="1"/>
    <col min="5" max="6" width="11.6640625" customWidth="1"/>
    <col min="7" max="7" width="11.33203125" customWidth="1"/>
    <col min="8" max="8" width="11.6640625" customWidth="1"/>
    <col min="9" max="9" width="3.6640625" customWidth="1"/>
  </cols>
  <sheetData>
    <row r="1" spans="1:9">
      <c r="B1" s="208" t="s">
        <v>93</v>
      </c>
      <c r="C1" s="208"/>
      <c r="D1" s="208"/>
      <c r="E1" s="208"/>
      <c r="F1" s="208"/>
      <c r="G1" s="208"/>
      <c r="H1" s="208"/>
    </row>
    <row r="2" spans="1:9">
      <c r="B2" s="208"/>
      <c r="C2" s="208"/>
      <c r="D2" s="208"/>
      <c r="E2" s="208"/>
      <c r="F2" s="208"/>
      <c r="G2" s="208"/>
      <c r="H2" s="208"/>
    </row>
    <row r="3" spans="1:9">
      <c r="B3" s="209" t="s">
        <v>81</v>
      </c>
      <c r="C3" s="209"/>
      <c r="D3" s="173"/>
      <c r="E3" s="210"/>
      <c r="F3" s="211"/>
      <c r="G3" s="211"/>
      <c r="H3" s="211"/>
    </row>
    <row r="5" spans="1:9" ht="15.75">
      <c r="A5" s="174"/>
      <c r="B5" s="175" t="s">
        <v>82</v>
      </c>
      <c r="C5">
        <v>500000</v>
      </c>
      <c r="G5" s="175" t="s">
        <v>83</v>
      </c>
      <c r="H5" s="176">
        <v>0</v>
      </c>
      <c r="I5" s="174"/>
    </row>
    <row r="6" spans="1:9" ht="15.75">
      <c r="A6" s="174"/>
      <c r="G6" s="175"/>
      <c r="I6" s="174"/>
    </row>
    <row r="7" spans="1:9" ht="15.75">
      <c r="A7" s="174"/>
      <c r="B7" s="175" t="s">
        <v>84</v>
      </c>
      <c r="C7">
        <v>-45000</v>
      </c>
      <c r="G7" s="175" t="s">
        <v>85</v>
      </c>
      <c r="H7" s="176">
        <v>0.05</v>
      </c>
      <c r="I7" s="174"/>
    </row>
    <row r="8" spans="1:9">
      <c r="A8" s="174"/>
      <c r="I8" s="174"/>
    </row>
    <row r="9" spans="1:9" ht="15.75">
      <c r="A9" s="174"/>
      <c r="G9" s="177" t="s">
        <v>86</v>
      </c>
      <c r="H9" s="178">
        <f>F43</f>
        <v>0</v>
      </c>
      <c r="I9" s="174"/>
    </row>
    <row r="10" spans="1:9" ht="15.75">
      <c r="A10" s="174"/>
      <c r="B10" s="179"/>
      <c r="C10" s="179"/>
      <c r="D10" s="179"/>
      <c r="F10" s="179" t="s">
        <v>87</v>
      </c>
      <c r="G10" s="179"/>
      <c r="H10" s="179"/>
      <c r="I10" s="174"/>
    </row>
    <row r="11" spans="1:9" ht="15.75">
      <c r="A11" s="174"/>
      <c r="B11" s="179" t="s">
        <v>88</v>
      </c>
      <c r="C11" s="179" t="s">
        <v>89</v>
      </c>
      <c r="D11" s="179" t="s">
        <v>90</v>
      </c>
      <c r="E11" s="179" t="s">
        <v>10</v>
      </c>
      <c r="F11" s="180">
        <v>0</v>
      </c>
      <c r="G11" s="179" t="s">
        <v>19</v>
      </c>
      <c r="H11" s="179" t="s">
        <v>91</v>
      </c>
      <c r="I11" s="174"/>
    </row>
    <row r="12" spans="1:9" ht="15.75">
      <c r="A12" s="174"/>
      <c r="B12" s="184">
        <v>1</v>
      </c>
      <c r="C12" s="185">
        <f>$C$5</f>
        <v>500000</v>
      </c>
      <c r="D12" s="176">
        <f>$H$7</f>
        <v>0.05</v>
      </c>
      <c r="E12" s="185">
        <f>C12*$D12</f>
        <v>25000</v>
      </c>
      <c r="F12" s="185">
        <f>-(C12+E12)*$F$11</f>
        <v>0</v>
      </c>
      <c r="G12" s="185">
        <f>C$7</f>
        <v>-45000</v>
      </c>
      <c r="H12" s="182">
        <f>SUM(C12:G12)</f>
        <v>480000.05000000005</v>
      </c>
      <c r="I12" s="174"/>
    </row>
    <row r="13" spans="1:9" ht="15.75">
      <c r="A13" s="174"/>
      <c r="B13" s="184">
        <v>2</v>
      </c>
      <c r="C13" s="185">
        <f>H12</f>
        <v>480000.05000000005</v>
      </c>
      <c r="D13" s="176">
        <f t="shared" ref="D13:D41" si="0">$H$7</f>
        <v>0.05</v>
      </c>
      <c r="E13" s="185">
        <f t="shared" ref="E13:E41" si="1">C13*$D13</f>
        <v>24000.002500000002</v>
      </c>
      <c r="F13" s="185">
        <f t="shared" ref="F13:F41" si="2">-(C13+E13)*$F$11</f>
        <v>0</v>
      </c>
      <c r="G13" s="185">
        <f t="shared" ref="G13:G41" si="3">G12*(1+$H$5)</f>
        <v>-45000</v>
      </c>
      <c r="H13" s="182">
        <f t="shared" ref="H13:H41" si="4">SUM(C13:G13)</f>
        <v>459000.10250000004</v>
      </c>
      <c r="I13" s="174"/>
    </row>
    <row r="14" spans="1:9" ht="15.75">
      <c r="A14" s="174"/>
      <c r="B14" s="184">
        <v>3</v>
      </c>
      <c r="C14" s="185">
        <f t="shared" ref="C14:C41" si="5">H13</f>
        <v>459000.10250000004</v>
      </c>
      <c r="D14" s="176">
        <f t="shared" si="0"/>
        <v>0.05</v>
      </c>
      <c r="E14" s="185">
        <f t="shared" si="1"/>
        <v>22950.005125000003</v>
      </c>
      <c r="F14" s="185">
        <f t="shared" si="2"/>
        <v>0</v>
      </c>
      <c r="G14" s="185">
        <f t="shared" si="3"/>
        <v>-45000</v>
      </c>
      <c r="H14" s="182">
        <f t="shared" si="4"/>
        <v>436950.15762500005</v>
      </c>
      <c r="I14" s="174"/>
    </row>
    <row r="15" spans="1:9" ht="15.75">
      <c r="A15" s="174"/>
      <c r="B15" s="184">
        <v>4</v>
      </c>
      <c r="C15" s="185">
        <f t="shared" si="5"/>
        <v>436950.15762500005</v>
      </c>
      <c r="D15" s="176">
        <f t="shared" si="0"/>
        <v>0.05</v>
      </c>
      <c r="E15" s="185">
        <f t="shared" si="1"/>
        <v>21847.507881250003</v>
      </c>
      <c r="F15" s="185">
        <f t="shared" si="2"/>
        <v>0</v>
      </c>
      <c r="G15" s="185">
        <f t="shared" si="3"/>
        <v>-45000</v>
      </c>
      <c r="H15" s="182">
        <f t="shared" si="4"/>
        <v>413797.71550625004</v>
      </c>
      <c r="I15" s="174"/>
    </row>
    <row r="16" spans="1:9" ht="15.75">
      <c r="A16" s="174"/>
      <c r="B16" s="184">
        <v>5</v>
      </c>
      <c r="C16" s="185">
        <f t="shared" si="5"/>
        <v>413797.71550625004</v>
      </c>
      <c r="D16" s="176">
        <f t="shared" si="0"/>
        <v>0.05</v>
      </c>
      <c r="E16" s="185">
        <f t="shared" si="1"/>
        <v>20689.885775312505</v>
      </c>
      <c r="F16" s="185">
        <f t="shared" si="2"/>
        <v>0</v>
      </c>
      <c r="G16" s="185">
        <f t="shared" si="3"/>
        <v>-45000</v>
      </c>
      <c r="H16" s="182">
        <f t="shared" si="4"/>
        <v>389487.65128156252</v>
      </c>
      <c r="I16" s="174"/>
    </row>
    <row r="17" spans="1:9" ht="15.75">
      <c r="A17" s="174"/>
      <c r="B17" s="184">
        <v>6</v>
      </c>
      <c r="C17" s="185">
        <f t="shared" si="5"/>
        <v>389487.65128156252</v>
      </c>
      <c r="D17" s="176">
        <f t="shared" si="0"/>
        <v>0.05</v>
      </c>
      <c r="E17" s="185">
        <f t="shared" si="1"/>
        <v>19474.382564078125</v>
      </c>
      <c r="F17" s="185">
        <f t="shared" si="2"/>
        <v>0</v>
      </c>
      <c r="G17" s="185">
        <f t="shared" si="3"/>
        <v>-45000</v>
      </c>
      <c r="H17" s="182">
        <f t="shared" si="4"/>
        <v>363962.08384564065</v>
      </c>
      <c r="I17" s="174"/>
    </row>
    <row r="18" spans="1:9" ht="15.75">
      <c r="A18" s="174"/>
      <c r="B18" s="184">
        <v>7</v>
      </c>
      <c r="C18" s="185">
        <f t="shared" si="5"/>
        <v>363962.08384564065</v>
      </c>
      <c r="D18" s="176">
        <f t="shared" si="0"/>
        <v>0.05</v>
      </c>
      <c r="E18" s="185">
        <f t="shared" si="1"/>
        <v>18198.104192282033</v>
      </c>
      <c r="F18" s="185">
        <f t="shared" si="2"/>
        <v>0</v>
      </c>
      <c r="G18" s="185">
        <f t="shared" si="3"/>
        <v>-45000</v>
      </c>
      <c r="H18" s="182">
        <f t="shared" si="4"/>
        <v>337160.23803792265</v>
      </c>
      <c r="I18" s="174"/>
    </row>
    <row r="19" spans="1:9" ht="15.75">
      <c r="A19" s="174"/>
      <c r="B19" s="184">
        <v>8</v>
      </c>
      <c r="C19" s="185">
        <f t="shared" si="5"/>
        <v>337160.23803792265</v>
      </c>
      <c r="D19" s="176">
        <f t="shared" si="0"/>
        <v>0.05</v>
      </c>
      <c r="E19" s="185">
        <f t="shared" si="1"/>
        <v>16858.011901896134</v>
      </c>
      <c r="F19" s="185">
        <f t="shared" si="2"/>
        <v>0</v>
      </c>
      <c r="G19" s="185">
        <f t="shared" si="3"/>
        <v>-45000</v>
      </c>
      <c r="H19" s="182">
        <f t="shared" si="4"/>
        <v>309018.2999398188</v>
      </c>
      <c r="I19" s="174"/>
    </row>
    <row r="20" spans="1:9" ht="15.75">
      <c r="A20" s="174"/>
      <c r="B20" s="184">
        <v>9</v>
      </c>
      <c r="C20" s="185">
        <f t="shared" si="5"/>
        <v>309018.2999398188</v>
      </c>
      <c r="D20" s="176">
        <f t="shared" si="0"/>
        <v>0.05</v>
      </c>
      <c r="E20" s="185">
        <f t="shared" si="1"/>
        <v>15450.914996990941</v>
      </c>
      <c r="F20" s="185">
        <f t="shared" si="2"/>
        <v>0</v>
      </c>
      <c r="G20" s="185">
        <f t="shared" si="3"/>
        <v>-45000</v>
      </c>
      <c r="H20" s="182">
        <f t="shared" si="4"/>
        <v>279469.26493680972</v>
      </c>
      <c r="I20" s="174"/>
    </row>
    <row r="21" spans="1:9" ht="15.75">
      <c r="A21" s="174"/>
      <c r="B21" s="184">
        <v>10</v>
      </c>
      <c r="C21" s="185">
        <f t="shared" si="5"/>
        <v>279469.26493680972</v>
      </c>
      <c r="D21" s="176">
        <f t="shared" si="0"/>
        <v>0.05</v>
      </c>
      <c r="E21" s="185">
        <f t="shared" si="1"/>
        <v>13973.463246840487</v>
      </c>
      <c r="F21" s="185">
        <f t="shared" si="2"/>
        <v>0</v>
      </c>
      <c r="G21" s="185">
        <f t="shared" si="3"/>
        <v>-45000</v>
      </c>
      <c r="H21" s="182">
        <f t="shared" si="4"/>
        <v>248442.77818365017</v>
      </c>
      <c r="I21" s="174"/>
    </row>
    <row r="22" spans="1:9" ht="15.75">
      <c r="A22" s="174"/>
      <c r="B22" s="184">
        <v>11</v>
      </c>
      <c r="C22" s="185">
        <f t="shared" si="5"/>
        <v>248442.77818365017</v>
      </c>
      <c r="D22" s="176">
        <f t="shared" si="0"/>
        <v>0.05</v>
      </c>
      <c r="E22" s="185">
        <f t="shared" si="1"/>
        <v>12422.138909182509</v>
      </c>
      <c r="F22" s="185">
        <f t="shared" si="2"/>
        <v>0</v>
      </c>
      <c r="G22" s="185">
        <f t="shared" si="3"/>
        <v>-45000</v>
      </c>
      <c r="H22" s="182">
        <f t="shared" si="4"/>
        <v>215864.96709283267</v>
      </c>
      <c r="I22" s="174"/>
    </row>
    <row r="23" spans="1:9" ht="15.75">
      <c r="A23" s="174"/>
      <c r="B23" s="184">
        <v>12</v>
      </c>
      <c r="C23" s="185">
        <f t="shared" si="5"/>
        <v>215864.96709283267</v>
      </c>
      <c r="D23" s="176">
        <f t="shared" si="0"/>
        <v>0.05</v>
      </c>
      <c r="E23" s="185">
        <f t="shared" si="1"/>
        <v>10793.248354641633</v>
      </c>
      <c r="F23" s="185">
        <f t="shared" si="2"/>
        <v>0</v>
      </c>
      <c r="G23" s="185">
        <f t="shared" si="3"/>
        <v>-45000</v>
      </c>
      <c r="H23" s="182">
        <f t="shared" si="4"/>
        <v>181658.26544747429</v>
      </c>
      <c r="I23" s="174"/>
    </row>
    <row r="24" spans="1:9" ht="15.75">
      <c r="A24" s="174"/>
      <c r="B24" s="184">
        <v>13</v>
      </c>
      <c r="C24" s="185">
        <f t="shared" si="5"/>
        <v>181658.26544747429</v>
      </c>
      <c r="D24" s="176">
        <f t="shared" si="0"/>
        <v>0.05</v>
      </c>
      <c r="E24" s="185">
        <f t="shared" si="1"/>
        <v>9082.9132723737148</v>
      </c>
      <c r="F24" s="185">
        <f t="shared" si="2"/>
        <v>0</v>
      </c>
      <c r="G24" s="185">
        <f t="shared" si="3"/>
        <v>-45000</v>
      </c>
      <c r="H24" s="182">
        <f t="shared" si="4"/>
        <v>145741.228719848</v>
      </c>
      <c r="I24" s="174"/>
    </row>
    <row r="25" spans="1:9" ht="15.75">
      <c r="A25" s="174"/>
      <c r="B25" s="184">
        <v>14</v>
      </c>
      <c r="C25" s="185">
        <f t="shared" si="5"/>
        <v>145741.228719848</v>
      </c>
      <c r="D25" s="176">
        <f t="shared" si="0"/>
        <v>0.05</v>
      </c>
      <c r="E25" s="185">
        <f t="shared" si="1"/>
        <v>7287.0614359924002</v>
      </c>
      <c r="F25" s="185">
        <f t="shared" si="2"/>
        <v>0</v>
      </c>
      <c r="G25" s="185">
        <f t="shared" si="3"/>
        <v>-45000</v>
      </c>
      <c r="H25" s="182">
        <f t="shared" si="4"/>
        <v>108028.34015584039</v>
      </c>
      <c r="I25" s="174"/>
    </row>
    <row r="26" spans="1:9" ht="15.75">
      <c r="A26" s="174"/>
      <c r="B26" s="184">
        <v>15</v>
      </c>
      <c r="C26" s="185">
        <f t="shared" si="5"/>
        <v>108028.34015584039</v>
      </c>
      <c r="D26" s="176">
        <f t="shared" si="0"/>
        <v>0.05</v>
      </c>
      <c r="E26" s="185">
        <f t="shared" si="1"/>
        <v>5401.4170077920198</v>
      </c>
      <c r="F26" s="185">
        <f t="shared" si="2"/>
        <v>0</v>
      </c>
      <c r="G26" s="185">
        <f t="shared" si="3"/>
        <v>-45000</v>
      </c>
      <c r="H26" s="182">
        <f t="shared" si="4"/>
        <v>68429.807163632402</v>
      </c>
      <c r="I26" s="174"/>
    </row>
    <row r="27" spans="1:9" ht="15.75">
      <c r="A27" s="174"/>
      <c r="B27" s="184">
        <v>16</v>
      </c>
      <c r="C27" s="185">
        <f t="shared" si="5"/>
        <v>68429.807163632402</v>
      </c>
      <c r="D27" s="176">
        <f t="shared" si="0"/>
        <v>0.05</v>
      </c>
      <c r="E27" s="185">
        <f t="shared" si="1"/>
        <v>3421.4903581816202</v>
      </c>
      <c r="F27" s="185">
        <f t="shared" si="2"/>
        <v>0</v>
      </c>
      <c r="G27" s="185">
        <f t="shared" si="3"/>
        <v>-45000</v>
      </c>
      <c r="H27" s="182">
        <f t="shared" si="4"/>
        <v>26851.347521814023</v>
      </c>
      <c r="I27" s="174"/>
    </row>
    <row r="28" spans="1:9" ht="15.75">
      <c r="A28" s="174"/>
      <c r="B28" s="184">
        <v>17</v>
      </c>
      <c r="C28" s="185">
        <f t="shared" si="5"/>
        <v>26851.347521814023</v>
      </c>
      <c r="D28" s="176">
        <f t="shared" si="0"/>
        <v>0.05</v>
      </c>
      <c r="E28" s="185">
        <f t="shared" si="1"/>
        <v>1342.5673760907011</v>
      </c>
      <c r="F28" s="185">
        <f t="shared" si="2"/>
        <v>0</v>
      </c>
      <c r="G28" s="185">
        <f t="shared" si="3"/>
        <v>-45000</v>
      </c>
      <c r="H28" s="182">
        <f t="shared" si="4"/>
        <v>-16806.035102095277</v>
      </c>
      <c r="I28" s="174"/>
    </row>
    <row r="29" spans="1:9" ht="15.75">
      <c r="A29" s="174"/>
      <c r="B29" s="184">
        <v>18</v>
      </c>
      <c r="C29" s="185">
        <f t="shared" si="5"/>
        <v>-16806.035102095277</v>
      </c>
      <c r="D29" s="176">
        <f t="shared" si="0"/>
        <v>0.05</v>
      </c>
      <c r="E29" s="185">
        <f t="shared" si="1"/>
        <v>-840.30175510476386</v>
      </c>
      <c r="F29" s="185">
        <f t="shared" si="2"/>
        <v>0</v>
      </c>
      <c r="G29" s="185">
        <f t="shared" si="3"/>
        <v>-45000</v>
      </c>
      <c r="H29" s="182">
        <f t="shared" si="4"/>
        <v>-62646.286857200044</v>
      </c>
      <c r="I29" s="174"/>
    </row>
    <row r="30" spans="1:9" ht="15.75">
      <c r="A30" s="174"/>
      <c r="B30" s="184">
        <v>19</v>
      </c>
      <c r="C30" s="185">
        <f t="shared" si="5"/>
        <v>-62646.286857200044</v>
      </c>
      <c r="D30" s="176">
        <f t="shared" si="0"/>
        <v>0.05</v>
      </c>
      <c r="E30" s="185">
        <f t="shared" si="1"/>
        <v>-3132.3143428600024</v>
      </c>
      <c r="F30" s="185">
        <f t="shared" si="2"/>
        <v>0</v>
      </c>
      <c r="G30" s="185">
        <f t="shared" si="3"/>
        <v>-45000</v>
      </c>
      <c r="H30" s="182">
        <f t="shared" si="4"/>
        <v>-110778.55120006004</v>
      </c>
      <c r="I30" s="174"/>
    </row>
    <row r="31" spans="1:9" ht="15.75">
      <c r="A31" s="174"/>
      <c r="B31" s="184">
        <v>20</v>
      </c>
      <c r="C31" s="185">
        <f t="shared" si="5"/>
        <v>-110778.55120006004</v>
      </c>
      <c r="D31" s="176">
        <f t="shared" si="0"/>
        <v>0.05</v>
      </c>
      <c r="E31" s="185">
        <f t="shared" si="1"/>
        <v>-5538.9275600030023</v>
      </c>
      <c r="F31" s="185">
        <f t="shared" si="2"/>
        <v>0</v>
      </c>
      <c r="G31" s="185">
        <f t="shared" si="3"/>
        <v>-45000</v>
      </c>
      <c r="H31" s="182">
        <f t="shared" si="4"/>
        <v>-161317.42876006305</v>
      </c>
      <c r="I31" s="174"/>
    </row>
    <row r="32" spans="1:9" ht="15.75">
      <c r="A32" s="174"/>
      <c r="B32" s="184">
        <v>21</v>
      </c>
      <c r="C32" s="185">
        <f t="shared" si="5"/>
        <v>-161317.42876006305</v>
      </c>
      <c r="D32" s="176">
        <f t="shared" si="0"/>
        <v>0.05</v>
      </c>
      <c r="E32" s="185">
        <f t="shared" si="1"/>
        <v>-8065.8714380031524</v>
      </c>
      <c r="F32" s="185">
        <f t="shared" si="2"/>
        <v>0</v>
      </c>
      <c r="G32" s="185">
        <f t="shared" si="3"/>
        <v>-45000</v>
      </c>
      <c r="H32" s="182">
        <f t="shared" si="4"/>
        <v>-214383.25019806621</v>
      </c>
      <c r="I32" s="174"/>
    </row>
    <row r="33" spans="1:9" ht="15.75">
      <c r="A33" s="174"/>
      <c r="B33" s="184">
        <v>22</v>
      </c>
      <c r="C33" s="185">
        <f t="shared" si="5"/>
        <v>-214383.25019806621</v>
      </c>
      <c r="D33" s="176">
        <f t="shared" si="0"/>
        <v>0.05</v>
      </c>
      <c r="E33" s="185">
        <f t="shared" si="1"/>
        <v>-10719.162509903312</v>
      </c>
      <c r="F33" s="185">
        <f t="shared" si="2"/>
        <v>0</v>
      </c>
      <c r="G33" s="185">
        <f t="shared" si="3"/>
        <v>-45000</v>
      </c>
      <c r="H33" s="182">
        <f t="shared" si="4"/>
        <v>-270102.3627079695</v>
      </c>
      <c r="I33" s="174"/>
    </row>
    <row r="34" spans="1:9" ht="15.75">
      <c r="A34" s="174"/>
      <c r="B34" s="184">
        <v>23</v>
      </c>
      <c r="C34" s="185">
        <f t="shared" si="5"/>
        <v>-270102.3627079695</v>
      </c>
      <c r="D34" s="176">
        <f t="shared" si="0"/>
        <v>0.05</v>
      </c>
      <c r="E34" s="185">
        <f t="shared" si="1"/>
        <v>-13505.118135398476</v>
      </c>
      <c r="F34" s="185">
        <f t="shared" si="2"/>
        <v>0</v>
      </c>
      <c r="G34" s="185">
        <f t="shared" si="3"/>
        <v>-45000</v>
      </c>
      <c r="H34" s="182">
        <f t="shared" si="4"/>
        <v>-328607.430843368</v>
      </c>
      <c r="I34" s="174"/>
    </row>
    <row r="35" spans="1:9" ht="15.75">
      <c r="A35" s="174"/>
      <c r="B35" s="184">
        <v>24</v>
      </c>
      <c r="C35" s="185">
        <f t="shared" si="5"/>
        <v>-328607.430843368</v>
      </c>
      <c r="D35" s="176">
        <f t="shared" si="0"/>
        <v>0.05</v>
      </c>
      <c r="E35" s="185">
        <f t="shared" si="1"/>
        <v>-16430.371542168399</v>
      </c>
      <c r="F35" s="185">
        <f t="shared" si="2"/>
        <v>0</v>
      </c>
      <c r="G35" s="185">
        <f t="shared" si="3"/>
        <v>-45000</v>
      </c>
      <c r="H35" s="182">
        <f t="shared" si="4"/>
        <v>-390037.75238553638</v>
      </c>
      <c r="I35" s="174"/>
    </row>
    <row r="36" spans="1:9" ht="15.75">
      <c r="A36" s="174"/>
      <c r="B36" s="184">
        <v>25</v>
      </c>
      <c r="C36" s="185">
        <f t="shared" si="5"/>
        <v>-390037.75238553638</v>
      </c>
      <c r="D36" s="176">
        <f t="shared" si="0"/>
        <v>0.05</v>
      </c>
      <c r="E36" s="185">
        <f t="shared" si="1"/>
        <v>-19501.887619276818</v>
      </c>
      <c r="F36" s="185">
        <f t="shared" si="2"/>
        <v>0</v>
      </c>
      <c r="G36" s="185">
        <f t="shared" si="3"/>
        <v>-45000</v>
      </c>
      <c r="H36" s="182">
        <f t="shared" si="4"/>
        <v>-454539.59000481322</v>
      </c>
      <c r="I36" s="174"/>
    </row>
    <row r="37" spans="1:9" ht="15.75">
      <c r="A37" s="174"/>
      <c r="B37" s="184">
        <v>26</v>
      </c>
      <c r="C37" s="185">
        <f t="shared" si="5"/>
        <v>-454539.59000481322</v>
      </c>
      <c r="D37" s="176">
        <f t="shared" si="0"/>
        <v>0.05</v>
      </c>
      <c r="E37" s="185">
        <f t="shared" si="1"/>
        <v>-22726.979500240661</v>
      </c>
      <c r="F37" s="185">
        <f t="shared" si="2"/>
        <v>0</v>
      </c>
      <c r="G37" s="185">
        <f t="shared" si="3"/>
        <v>-45000</v>
      </c>
      <c r="H37" s="182">
        <f t="shared" si="4"/>
        <v>-522266.51950505388</v>
      </c>
      <c r="I37" s="174"/>
    </row>
    <row r="38" spans="1:9" ht="15.75">
      <c r="A38" s="174"/>
      <c r="B38" s="184">
        <v>27</v>
      </c>
      <c r="C38" s="185">
        <f t="shared" si="5"/>
        <v>-522266.51950505388</v>
      </c>
      <c r="D38" s="176">
        <f t="shared" si="0"/>
        <v>0.05</v>
      </c>
      <c r="E38" s="185">
        <f t="shared" si="1"/>
        <v>-26113.325975252694</v>
      </c>
      <c r="F38" s="185">
        <f t="shared" si="2"/>
        <v>0</v>
      </c>
      <c r="G38" s="185">
        <f t="shared" si="3"/>
        <v>-45000</v>
      </c>
      <c r="H38" s="182">
        <f t="shared" si="4"/>
        <v>-593379.79548030661</v>
      </c>
      <c r="I38" s="174"/>
    </row>
    <row r="39" spans="1:9" ht="15.75">
      <c r="A39" s="174"/>
      <c r="B39" s="184">
        <v>28</v>
      </c>
      <c r="C39" s="185">
        <f t="shared" si="5"/>
        <v>-593379.79548030661</v>
      </c>
      <c r="D39" s="176">
        <f t="shared" si="0"/>
        <v>0.05</v>
      </c>
      <c r="E39" s="185">
        <f t="shared" si="1"/>
        <v>-29668.989774015332</v>
      </c>
      <c r="F39" s="185">
        <f t="shared" si="2"/>
        <v>0</v>
      </c>
      <c r="G39" s="185">
        <f t="shared" si="3"/>
        <v>-45000</v>
      </c>
      <c r="H39" s="182">
        <f t="shared" si="4"/>
        <v>-668048.73525432195</v>
      </c>
      <c r="I39" s="174"/>
    </row>
    <row r="40" spans="1:9" ht="15.75">
      <c r="A40" s="174"/>
      <c r="B40" s="184">
        <v>29</v>
      </c>
      <c r="C40" s="185">
        <f t="shared" si="5"/>
        <v>-668048.73525432195</v>
      </c>
      <c r="D40" s="176">
        <f t="shared" si="0"/>
        <v>0.05</v>
      </c>
      <c r="E40" s="185">
        <f t="shared" si="1"/>
        <v>-33402.436762716097</v>
      </c>
      <c r="F40" s="185">
        <f t="shared" si="2"/>
        <v>0</v>
      </c>
      <c r="G40" s="185">
        <f t="shared" si="3"/>
        <v>-45000</v>
      </c>
      <c r="H40" s="182">
        <f t="shared" si="4"/>
        <v>-746451.12201703805</v>
      </c>
      <c r="I40" s="174"/>
    </row>
    <row r="41" spans="1:9" ht="15.75">
      <c r="A41" s="174"/>
      <c r="B41" s="184">
        <v>30</v>
      </c>
      <c r="C41" s="185">
        <f t="shared" si="5"/>
        <v>-746451.12201703805</v>
      </c>
      <c r="D41" s="176">
        <f t="shared" si="0"/>
        <v>0.05</v>
      </c>
      <c r="E41" s="185">
        <f t="shared" si="1"/>
        <v>-37322.556100851907</v>
      </c>
      <c r="F41" s="185">
        <f t="shared" si="2"/>
        <v>0</v>
      </c>
      <c r="G41" s="185">
        <f t="shared" si="3"/>
        <v>-45000</v>
      </c>
      <c r="H41" s="182">
        <f t="shared" si="4"/>
        <v>-828773.62811788986</v>
      </c>
      <c r="I41" s="174"/>
    </row>
    <row r="42" spans="1:9">
      <c r="A42" s="174"/>
      <c r="D42" s="176"/>
      <c r="I42" s="174"/>
    </row>
    <row r="43" spans="1:9">
      <c r="A43" s="174"/>
      <c r="D43" s="176"/>
      <c r="F43" s="183">
        <f>SUM(F12:F42)</f>
        <v>0</v>
      </c>
      <c r="I43" s="174"/>
    </row>
  </sheetData>
  <mergeCells count="3">
    <mergeCell ref="B1:H2"/>
    <mergeCell ref="B3:C3"/>
    <mergeCell ref="E3:H3"/>
  </mergeCells>
  <pageMargins left="0.7" right="0.7" top="0.75" bottom="0.75" header="0.3" footer="0.3"/>
  <pageSetup scale="9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40"/>
  <sheetViews>
    <sheetView workbookViewId="0">
      <selection activeCell="G4" sqref="G4"/>
    </sheetView>
  </sheetViews>
  <sheetFormatPr defaultRowHeight="15"/>
  <cols>
    <col min="3" max="3" width="11" bestFit="1" customWidth="1"/>
    <col min="4" max="4" width="16.77734375" customWidth="1"/>
  </cols>
  <sheetData>
    <row r="2" spans="1:5" ht="23.25">
      <c r="A2" s="207" t="s">
        <v>95</v>
      </c>
      <c r="B2" s="207"/>
      <c r="C2" s="207"/>
      <c r="D2" s="207"/>
      <c r="E2" s="207"/>
    </row>
    <row r="4" spans="1:5">
      <c r="B4" t="s">
        <v>79</v>
      </c>
      <c r="C4" s="188">
        <v>192000</v>
      </c>
    </row>
    <row r="6" spans="1:5">
      <c r="B6" t="s">
        <v>96</v>
      </c>
      <c r="C6" s="186">
        <v>0.03</v>
      </c>
      <c r="E6" s="189"/>
    </row>
    <row r="8" spans="1:5">
      <c r="B8" t="s">
        <v>86</v>
      </c>
      <c r="C8" s="186">
        <v>0</v>
      </c>
    </row>
    <row r="10" spans="1:5" ht="15.75">
      <c r="B10" s="187" t="s">
        <v>20</v>
      </c>
      <c r="C10" s="187"/>
      <c r="D10" s="187" t="s">
        <v>78</v>
      </c>
    </row>
    <row r="11" spans="1:5">
      <c r="B11">
        <v>1</v>
      </c>
      <c r="D11" s="181">
        <f>C4*(1+-$C$6-$C$8)</f>
        <v>186240</v>
      </c>
    </row>
    <row r="12" spans="1:5">
      <c r="B12">
        <v>2</v>
      </c>
      <c r="D12" s="181">
        <f>D11*(1+-$C$6-$C$8)</f>
        <v>180652.79999999999</v>
      </c>
    </row>
    <row r="13" spans="1:5">
      <c r="B13">
        <v>3</v>
      </c>
      <c r="D13" s="181">
        <f t="shared" ref="D13:D40" si="0">D12*(1+-$C$6-$C$8)</f>
        <v>175233.21599999999</v>
      </c>
    </row>
    <row r="14" spans="1:5">
      <c r="B14">
        <v>4</v>
      </c>
      <c r="D14" s="181">
        <f t="shared" si="0"/>
        <v>169976.21951999998</v>
      </c>
    </row>
    <row r="15" spans="1:5">
      <c r="B15">
        <v>5</v>
      </c>
      <c r="D15" s="181">
        <f t="shared" si="0"/>
        <v>164876.93293439999</v>
      </c>
    </row>
    <row r="16" spans="1:5">
      <c r="B16">
        <v>6</v>
      </c>
      <c r="D16" s="181">
        <f t="shared" si="0"/>
        <v>159930.62494636799</v>
      </c>
    </row>
    <row r="17" spans="2:4">
      <c r="B17">
        <v>7</v>
      </c>
      <c r="D17" s="181">
        <f t="shared" si="0"/>
        <v>155132.70619797695</v>
      </c>
    </row>
    <row r="18" spans="2:4">
      <c r="B18">
        <v>8</v>
      </c>
      <c r="D18" s="181">
        <f t="shared" si="0"/>
        <v>150478.72501203764</v>
      </c>
    </row>
    <row r="19" spans="2:4">
      <c r="B19">
        <v>9</v>
      </c>
      <c r="D19" s="181">
        <f t="shared" si="0"/>
        <v>145964.36326167651</v>
      </c>
    </row>
    <row r="20" spans="2:4">
      <c r="B20">
        <v>10</v>
      </c>
      <c r="D20" s="181">
        <f t="shared" si="0"/>
        <v>141585.4323638262</v>
      </c>
    </row>
    <row r="21" spans="2:4">
      <c r="B21">
        <v>11</v>
      </c>
      <c r="D21" s="181">
        <f t="shared" si="0"/>
        <v>137337.86939291141</v>
      </c>
    </row>
    <row r="22" spans="2:4">
      <c r="B22">
        <v>12</v>
      </c>
      <c r="D22" s="181">
        <f t="shared" si="0"/>
        <v>133217.73331112406</v>
      </c>
    </row>
    <row r="23" spans="2:4">
      <c r="B23">
        <v>13</v>
      </c>
      <c r="D23" s="181">
        <f t="shared" si="0"/>
        <v>129221.20131179033</v>
      </c>
    </row>
    <row r="24" spans="2:4">
      <c r="B24">
        <v>14</v>
      </c>
      <c r="D24" s="181">
        <f t="shared" si="0"/>
        <v>125344.56527243661</v>
      </c>
    </row>
    <row r="25" spans="2:4">
      <c r="B25">
        <v>15</v>
      </c>
      <c r="D25" s="181">
        <f t="shared" si="0"/>
        <v>121584.22831426351</v>
      </c>
    </row>
    <row r="26" spans="2:4">
      <c r="B26">
        <v>16</v>
      </c>
      <c r="D26" s="181">
        <f t="shared" si="0"/>
        <v>117936.7014648356</v>
      </c>
    </row>
    <row r="27" spans="2:4">
      <c r="B27">
        <v>17</v>
      </c>
      <c r="D27" s="181">
        <f t="shared" si="0"/>
        <v>114398.60042089052</v>
      </c>
    </row>
    <row r="28" spans="2:4">
      <c r="B28">
        <v>18</v>
      </c>
      <c r="D28" s="181">
        <f t="shared" si="0"/>
        <v>110966.6424082638</v>
      </c>
    </row>
    <row r="29" spans="2:4">
      <c r="B29">
        <v>19</v>
      </c>
      <c r="D29" s="181">
        <f t="shared" si="0"/>
        <v>107637.64313601587</v>
      </c>
    </row>
    <row r="30" spans="2:4">
      <c r="B30">
        <v>20</v>
      </c>
      <c r="D30" s="181">
        <f t="shared" si="0"/>
        <v>104408.51384193539</v>
      </c>
    </row>
    <row r="31" spans="2:4">
      <c r="B31">
        <v>21</v>
      </c>
      <c r="D31" s="181">
        <f t="shared" si="0"/>
        <v>101276.25842667732</v>
      </c>
    </row>
    <row r="32" spans="2:4">
      <c r="B32">
        <v>22</v>
      </c>
      <c r="D32" s="181">
        <f t="shared" si="0"/>
        <v>98237.970673877004</v>
      </c>
    </row>
    <row r="33" spans="2:4">
      <c r="B33">
        <v>23</v>
      </c>
      <c r="D33" s="181">
        <f t="shared" si="0"/>
        <v>95290.831553660697</v>
      </c>
    </row>
    <row r="34" spans="2:4">
      <c r="B34">
        <v>24</v>
      </c>
      <c r="D34" s="181">
        <f t="shared" si="0"/>
        <v>92432.106607050868</v>
      </c>
    </row>
    <row r="35" spans="2:4">
      <c r="B35">
        <v>25</v>
      </c>
      <c r="D35" s="181">
        <f t="shared" si="0"/>
        <v>89659.143408839343</v>
      </c>
    </row>
    <row r="36" spans="2:4">
      <c r="B36">
        <v>26</v>
      </c>
      <c r="D36" s="181">
        <f t="shared" si="0"/>
        <v>86969.369106574159</v>
      </c>
    </row>
    <row r="37" spans="2:4">
      <c r="B37">
        <v>27</v>
      </c>
      <c r="D37" s="181">
        <f t="shared" si="0"/>
        <v>84360.288033376928</v>
      </c>
    </row>
    <row r="38" spans="2:4">
      <c r="B38">
        <v>28</v>
      </c>
      <c r="D38" s="181">
        <f t="shared" si="0"/>
        <v>81829.479392375622</v>
      </c>
    </row>
    <row r="39" spans="2:4">
      <c r="B39">
        <v>29</v>
      </c>
      <c r="D39" s="181">
        <f t="shared" si="0"/>
        <v>79374.595010604346</v>
      </c>
    </row>
    <row r="40" spans="2:4">
      <c r="B40">
        <v>30</v>
      </c>
      <c r="D40" s="181">
        <f t="shared" si="0"/>
        <v>76993.357160286207</v>
      </c>
    </row>
  </sheetData>
  <mergeCells count="1">
    <mergeCell ref="A2:E2"/>
  </mergeCells>
  <pageMargins left="0.7" right="0.7" top="0.75" bottom="0.75" header="0.3" footer="0.3"/>
  <pageSetup paperSize="0" orientation="portrait" horizontalDpi="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K18" sqref="K18"/>
    </sheetView>
  </sheetViews>
  <sheetFormatPr defaultRowHeight="15"/>
  <sheetData>
    <row r="1" spans="1:9" ht="26.25">
      <c r="C1" s="206" t="s">
        <v>112</v>
      </c>
      <c r="D1" s="205"/>
      <c r="E1" s="205"/>
    </row>
    <row r="4" spans="1:9" ht="18">
      <c r="A4" s="190" t="s">
        <v>97</v>
      </c>
      <c r="B4" s="190" t="s">
        <v>98</v>
      </c>
      <c r="C4" s="190"/>
      <c r="D4" s="191" t="s">
        <v>99</v>
      </c>
      <c r="E4" s="190" t="s">
        <v>100</v>
      </c>
      <c r="F4" s="190"/>
      <c r="G4" s="190" t="s">
        <v>101</v>
      </c>
      <c r="H4" s="190"/>
      <c r="I4" s="190"/>
    </row>
    <row r="5" spans="1:9" ht="18">
      <c r="A5" s="191" t="s">
        <v>102</v>
      </c>
      <c r="B5" s="191" t="s">
        <v>103</v>
      </c>
      <c r="C5" s="191" t="s">
        <v>9</v>
      </c>
      <c r="D5" s="191" t="s">
        <v>9</v>
      </c>
      <c r="E5" s="191" t="s">
        <v>104</v>
      </c>
      <c r="F5" s="191" t="s">
        <v>36</v>
      </c>
      <c r="G5" s="191" t="s">
        <v>105</v>
      </c>
      <c r="H5" s="191" t="s">
        <v>10</v>
      </c>
      <c r="I5" s="191" t="s">
        <v>106</v>
      </c>
    </row>
    <row r="6" spans="1:9" ht="18">
      <c r="A6" s="212" t="s">
        <v>107</v>
      </c>
      <c r="B6" s="212"/>
      <c r="C6" s="212"/>
      <c r="D6" s="212"/>
      <c r="E6" s="212"/>
      <c r="F6" s="212"/>
      <c r="G6" s="212"/>
      <c r="H6" s="212"/>
      <c r="I6" s="212"/>
    </row>
    <row r="7" spans="1:9" ht="18">
      <c r="A7" s="192" t="s">
        <v>108</v>
      </c>
      <c r="B7" s="193">
        <v>43040</v>
      </c>
      <c r="C7" s="194">
        <v>1000</v>
      </c>
      <c r="D7" s="194">
        <v>1000</v>
      </c>
      <c r="E7" s="195"/>
      <c r="F7" s="196">
        <v>100000</v>
      </c>
      <c r="G7" s="197" t="s">
        <v>109</v>
      </c>
      <c r="H7" s="194">
        <v>200</v>
      </c>
      <c r="I7" s="194">
        <v>800</v>
      </c>
    </row>
    <row r="8" spans="1:9" ht="18">
      <c r="A8" s="198">
        <v>1</v>
      </c>
      <c r="B8" s="193">
        <v>43070</v>
      </c>
      <c r="C8" s="194">
        <v>1010</v>
      </c>
      <c r="D8" s="194">
        <v>1000</v>
      </c>
      <c r="E8" s="195"/>
      <c r="F8" s="199">
        <f>F7-(C8+D8+E8)</f>
        <v>97990</v>
      </c>
      <c r="G8" s="197" t="s">
        <v>109</v>
      </c>
      <c r="H8" s="194">
        <v>190</v>
      </c>
      <c r="I8" s="194">
        <v>800</v>
      </c>
    </row>
    <row r="9" spans="1:9" ht="18">
      <c r="A9" s="198">
        <v>2</v>
      </c>
      <c r="B9" s="193">
        <v>43101</v>
      </c>
      <c r="C9" s="195">
        <v>1020</v>
      </c>
      <c r="D9" s="194"/>
      <c r="E9" s="195">
        <v>10000</v>
      </c>
      <c r="F9" s="199">
        <f>F8-(C9+D9+E9)</f>
        <v>86970</v>
      </c>
      <c r="G9" s="197" t="s">
        <v>109</v>
      </c>
      <c r="H9" s="195">
        <v>180</v>
      </c>
      <c r="I9" s="194">
        <v>800</v>
      </c>
    </row>
    <row r="10" spans="1:9" ht="18">
      <c r="A10" s="198">
        <v>3</v>
      </c>
      <c r="B10" s="193">
        <v>43132</v>
      </c>
      <c r="C10" s="195">
        <v>1030</v>
      </c>
      <c r="D10" s="194">
        <v>1000</v>
      </c>
      <c r="E10" s="194"/>
      <c r="F10" s="199">
        <f>F9-(C10+D10+E10)</f>
        <v>84940</v>
      </c>
      <c r="G10" s="197"/>
      <c r="H10" s="195">
        <v>170</v>
      </c>
      <c r="I10" s="194">
        <v>800</v>
      </c>
    </row>
    <row r="11" spans="1:9" ht="18">
      <c r="A11" s="198">
        <v>4</v>
      </c>
      <c r="B11" s="193">
        <v>43160</v>
      </c>
      <c r="C11" s="195">
        <v>1040</v>
      </c>
      <c r="D11" s="194"/>
      <c r="E11" s="194">
        <v>10000</v>
      </c>
      <c r="F11" s="199">
        <f t="shared" ref="F11:F22" si="0">F10-(C11+D11+E11)</f>
        <v>73900</v>
      </c>
      <c r="G11" s="199"/>
      <c r="H11" s="195">
        <v>160</v>
      </c>
      <c r="I11" s="194">
        <v>800</v>
      </c>
    </row>
    <row r="12" spans="1:9" ht="18">
      <c r="A12" s="198">
        <v>5</v>
      </c>
      <c r="B12" s="193">
        <v>43191</v>
      </c>
      <c r="C12" s="194">
        <v>1050</v>
      </c>
      <c r="D12" s="194">
        <v>1000</v>
      </c>
      <c r="E12" s="194"/>
      <c r="F12" s="199">
        <f>F11-(C12+D12+E12)</f>
        <v>71850</v>
      </c>
      <c r="G12" s="199"/>
      <c r="H12" s="194">
        <v>150</v>
      </c>
      <c r="I12" s="194">
        <v>800</v>
      </c>
    </row>
    <row r="13" spans="1:9" ht="18">
      <c r="A13" s="198">
        <v>6</v>
      </c>
      <c r="B13" s="193">
        <v>43221</v>
      </c>
      <c r="C13" s="194">
        <v>1060</v>
      </c>
      <c r="D13" s="194"/>
      <c r="E13" s="194">
        <v>10000</v>
      </c>
      <c r="F13" s="199">
        <f>F12-(C13+D13+E13)</f>
        <v>60790</v>
      </c>
      <c r="G13" s="199"/>
      <c r="H13" s="194">
        <v>140</v>
      </c>
      <c r="I13" s="194">
        <v>800</v>
      </c>
    </row>
    <row r="14" spans="1:9" ht="18">
      <c r="A14" s="198">
        <v>7</v>
      </c>
      <c r="B14" s="193">
        <v>43252</v>
      </c>
      <c r="C14" s="194">
        <v>1070</v>
      </c>
      <c r="D14" s="194">
        <v>1000</v>
      </c>
      <c r="E14" s="194"/>
      <c r="F14" s="199">
        <f t="shared" si="0"/>
        <v>58720</v>
      </c>
      <c r="G14" s="199"/>
      <c r="H14" s="194">
        <v>130</v>
      </c>
      <c r="I14" s="194">
        <v>1000</v>
      </c>
    </row>
    <row r="15" spans="1:9" ht="18">
      <c r="A15" s="198">
        <v>8</v>
      </c>
      <c r="B15" s="193">
        <v>43282</v>
      </c>
      <c r="C15" s="194">
        <v>1080</v>
      </c>
      <c r="D15" s="194"/>
      <c r="E15" s="194">
        <v>10000</v>
      </c>
      <c r="F15" s="199">
        <f t="shared" si="0"/>
        <v>47640</v>
      </c>
      <c r="G15" s="199"/>
      <c r="H15" s="194">
        <v>120</v>
      </c>
      <c r="I15" s="194">
        <v>1000</v>
      </c>
    </row>
    <row r="16" spans="1:9" ht="18">
      <c r="A16" s="198">
        <v>9</v>
      </c>
      <c r="B16" s="193">
        <v>43313</v>
      </c>
      <c r="C16" s="194">
        <v>1090</v>
      </c>
      <c r="D16" s="194">
        <v>1000</v>
      </c>
      <c r="E16" s="195"/>
      <c r="F16" s="199">
        <f t="shared" si="0"/>
        <v>45550</v>
      </c>
      <c r="G16" s="199"/>
      <c r="H16" s="194">
        <v>110</v>
      </c>
      <c r="I16" s="194">
        <v>1000</v>
      </c>
    </row>
    <row r="17" spans="1:9" ht="18">
      <c r="A17" s="198">
        <v>10</v>
      </c>
      <c r="B17" s="193">
        <v>43344</v>
      </c>
      <c r="C17" s="194">
        <v>1100</v>
      </c>
      <c r="D17" s="194"/>
      <c r="E17" s="194">
        <v>10000</v>
      </c>
      <c r="F17" s="199">
        <f t="shared" si="0"/>
        <v>34450</v>
      </c>
      <c r="G17" s="199"/>
      <c r="H17" s="194">
        <v>100</v>
      </c>
      <c r="I17" s="194">
        <v>1000</v>
      </c>
    </row>
    <row r="18" spans="1:9" ht="18">
      <c r="A18" s="198">
        <v>11</v>
      </c>
      <c r="B18" s="193">
        <v>43374</v>
      </c>
      <c r="C18" s="194">
        <v>1110</v>
      </c>
      <c r="D18" s="194">
        <v>1000</v>
      </c>
      <c r="E18" s="194"/>
      <c r="F18" s="199">
        <f t="shared" si="0"/>
        <v>32340</v>
      </c>
      <c r="G18" s="199"/>
      <c r="H18" s="194">
        <v>90</v>
      </c>
      <c r="I18" s="194">
        <v>1000</v>
      </c>
    </row>
    <row r="19" spans="1:9" ht="18">
      <c r="A19" s="198">
        <v>12</v>
      </c>
      <c r="B19" s="193">
        <v>43405</v>
      </c>
      <c r="C19" s="194">
        <v>1120</v>
      </c>
      <c r="D19" s="194"/>
      <c r="E19" s="194">
        <v>10000</v>
      </c>
      <c r="F19" s="199">
        <f t="shared" si="0"/>
        <v>21220</v>
      </c>
      <c r="G19" s="199"/>
      <c r="H19" s="194">
        <v>80</v>
      </c>
      <c r="I19" s="194">
        <v>1000</v>
      </c>
    </row>
    <row r="20" spans="1:9" ht="18">
      <c r="A20" s="200">
        <v>13</v>
      </c>
      <c r="B20" s="193">
        <v>43435</v>
      </c>
      <c r="C20" s="195">
        <v>1130</v>
      </c>
      <c r="D20" s="194">
        <v>1000</v>
      </c>
      <c r="E20" s="195"/>
      <c r="F20" s="199">
        <f t="shared" si="0"/>
        <v>19090</v>
      </c>
      <c r="G20" s="199"/>
      <c r="H20" s="195">
        <v>70</v>
      </c>
      <c r="I20" s="194">
        <v>1000</v>
      </c>
    </row>
    <row r="21" spans="1:9" ht="18">
      <c r="A21" s="198">
        <v>14</v>
      </c>
      <c r="B21" s="193">
        <v>43466</v>
      </c>
      <c r="C21" s="194">
        <v>1140</v>
      </c>
      <c r="D21" s="194"/>
      <c r="E21" s="194">
        <v>10000</v>
      </c>
      <c r="F21" s="199">
        <f t="shared" si="0"/>
        <v>7950</v>
      </c>
      <c r="G21" s="199"/>
      <c r="H21" s="194">
        <v>60</v>
      </c>
      <c r="I21" s="194">
        <v>1000</v>
      </c>
    </row>
    <row r="22" spans="1:9" ht="18">
      <c r="A22" s="198">
        <v>15</v>
      </c>
      <c r="B22" s="193">
        <v>43497</v>
      </c>
      <c r="C22" s="194">
        <v>1150</v>
      </c>
      <c r="D22" s="194"/>
      <c r="E22" s="194">
        <v>6800</v>
      </c>
      <c r="F22" s="199">
        <f t="shared" si="0"/>
        <v>0</v>
      </c>
      <c r="G22" s="199"/>
      <c r="H22" s="194">
        <v>50</v>
      </c>
      <c r="I22" s="194">
        <v>1000</v>
      </c>
    </row>
    <row r="23" spans="1:9" ht="18">
      <c r="A23" s="201" t="s">
        <v>110</v>
      </c>
      <c r="B23" s="202"/>
      <c r="C23" s="194"/>
      <c r="D23" s="194"/>
      <c r="E23" s="194"/>
      <c r="F23" s="199"/>
      <c r="G23" s="199"/>
      <c r="H23" s="194"/>
      <c r="I23" s="194"/>
    </row>
    <row r="24" spans="1:9" ht="18">
      <c r="A24" s="198"/>
      <c r="B24" s="203"/>
      <c r="C24" s="194"/>
      <c r="D24" s="194"/>
      <c r="E24" s="194"/>
      <c r="F24" s="199"/>
      <c r="G24" s="199"/>
      <c r="H24" s="194"/>
      <c r="I24" s="194"/>
    </row>
    <row r="25" spans="1:9" ht="18">
      <c r="A25" s="198"/>
      <c r="B25" s="204" t="s">
        <v>111</v>
      </c>
      <c r="C25" s="195">
        <f>SUM(C8:C24)</f>
        <v>16200</v>
      </c>
      <c r="D25" s="194">
        <f>SUM(D8:D24)</f>
        <v>7000</v>
      </c>
      <c r="E25" s="194">
        <f>SUM(E8:E24)</f>
        <v>76800</v>
      </c>
      <c r="F25" s="204">
        <f>SUM(C25:E25)</f>
        <v>100000</v>
      </c>
      <c r="G25" s="194"/>
      <c r="H25" s="195"/>
      <c r="I25" s="195"/>
    </row>
  </sheetData>
  <mergeCells count="1">
    <mergeCell ref="A6:I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U82"/>
  <sheetViews>
    <sheetView defaultGridColor="0" colorId="23" zoomScale="77" workbookViewId="0">
      <selection activeCell="B5" sqref="B5"/>
    </sheetView>
  </sheetViews>
  <sheetFormatPr defaultColWidth="9.77734375" defaultRowHeight="15"/>
  <cols>
    <col min="1" max="1" width="12.21875" customWidth="1"/>
    <col min="2" max="4" width="10.77734375" customWidth="1"/>
    <col min="5" max="5" width="13.109375" customWidth="1"/>
    <col min="6" max="7" width="6.77734375" customWidth="1"/>
  </cols>
  <sheetData>
    <row r="1" spans="1:255" ht="40.5">
      <c r="A1" s="114"/>
      <c r="B1" s="115"/>
      <c r="C1" s="107" t="s">
        <v>0</v>
      </c>
      <c r="D1" s="114"/>
      <c r="E1" s="114"/>
      <c r="F1" s="114"/>
      <c r="G1" s="114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8"/>
    </row>
    <row r="2" spans="1:255" ht="40.5">
      <c r="A2" s="116"/>
      <c r="B2" s="115"/>
      <c r="C2" s="107" t="s">
        <v>13</v>
      </c>
      <c r="D2" s="116"/>
      <c r="E2" s="117"/>
      <c r="F2" s="116"/>
      <c r="G2" s="116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8"/>
    </row>
    <row r="3" spans="1:255" ht="23.25">
      <c r="A3" s="60"/>
      <c r="B3" s="60"/>
      <c r="C3" s="60"/>
      <c r="D3" s="60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30"/>
    </row>
    <row r="4" spans="1:255">
      <c r="A4" s="33"/>
      <c r="B4" s="33" t="s">
        <v>2</v>
      </c>
      <c r="C4" s="14"/>
      <c r="D4" s="33" t="s">
        <v>3</v>
      </c>
      <c r="E4" s="34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62"/>
    </row>
    <row r="5" spans="1:255">
      <c r="A5" s="63"/>
      <c r="B5" s="64">
        <v>200000</v>
      </c>
      <c r="C5" s="17"/>
      <c r="D5" s="121">
        <v>5</v>
      </c>
      <c r="E5" s="34"/>
    </row>
    <row r="6" spans="1:255">
      <c r="A6" s="63"/>
      <c r="B6" s="63"/>
      <c r="C6" s="17"/>
      <c r="D6" s="17"/>
      <c r="E6" s="17"/>
    </row>
    <row r="7" spans="1:255">
      <c r="A7" s="33"/>
      <c r="B7" s="14" t="s">
        <v>4</v>
      </c>
      <c r="C7" s="14"/>
      <c r="D7" s="14" t="s">
        <v>5</v>
      </c>
      <c r="E7" s="14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62"/>
    </row>
    <row r="8" spans="1:255">
      <c r="A8" s="63"/>
      <c r="B8" s="64">
        <v>0</v>
      </c>
      <c r="C8" s="17"/>
      <c r="D8" s="123">
        <v>14</v>
      </c>
      <c r="E8" s="17"/>
    </row>
    <row r="9" spans="1:255">
      <c r="A9" s="63"/>
      <c r="B9" s="63"/>
      <c r="C9" s="17"/>
      <c r="D9" s="17"/>
      <c r="E9" s="17"/>
    </row>
    <row r="10" spans="1:255">
      <c r="A10" s="33"/>
      <c r="B10" s="33" t="s">
        <v>6</v>
      </c>
      <c r="C10" s="14"/>
      <c r="D10" s="14" t="s">
        <v>7</v>
      </c>
      <c r="E10" s="14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62"/>
    </row>
    <row r="11" spans="1:255">
      <c r="B11" s="118">
        <v>30</v>
      </c>
      <c r="C11" s="65"/>
      <c r="D11" s="118">
        <v>0</v>
      </c>
    </row>
    <row r="12" spans="1:255">
      <c r="A12" s="34"/>
      <c r="B12" s="18"/>
      <c r="C12" s="18"/>
      <c r="D12" s="18"/>
      <c r="E12" s="18"/>
    </row>
    <row r="13" spans="1:255" ht="18.75">
      <c r="A13" s="66" t="s">
        <v>8</v>
      </c>
      <c r="B13" s="24" t="s">
        <v>9</v>
      </c>
      <c r="C13" s="24" t="s">
        <v>10</v>
      </c>
      <c r="D13" s="24" t="s">
        <v>14</v>
      </c>
      <c r="E13" s="24" t="s">
        <v>12</v>
      </c>
    </row>
    <row r="14" spans="1:255" ht="15.75">
      <c r="A14" s="67">
        <f>IF($D$8=0," ",1)</f>
        <v>1</v>
      </c>
      <c r="B14" s="68">
        <f>B5+B8</f>
        <v>200000</v>
      </c>
      <c r="C14" s="122">
        <f>IF(A14&lt;=$D$8,+B14*($D$5/100),(IF(A14=$D$8+1,SUM(C13:$C$14),#REF!)))</f>
        <v>10000</v>
      </c>
      <c r="D14" s="92">
        <f>IF(A14&lt;=$D$8,C14*($B$11/100),(IF(A14=$D$8+1,SUM(D13:$D$14),#REF!)))</f>
        <v>3000</v>
      </c>
      <c r="E14" s="92">
        <f>IF(A14&lt;=$D$8,FV($D$11/100,$D$8-1,0,-D14),(IF(A14=$D$8+1,SUM(E13:$E$14),#REF!)))</f>
        <v>3000</v>
      </c>
    </row>
    <row r="15" spans="1:255" ht="15.75">
      <c r="A15" s="67">
        <f>IF(A14=" "," ",IF(A14="Totals"," ",IF(A14=$D$8,"Totals",IF(A14&lt;$D$8,A14+1," "))))</f>
        <v>2</v>
      </c>
      <c r="B15" s="27">
        <f t="shared" ref="B15:B46" si="0">IF(+A15="Totals",+B14+$B$8,IF(+A14="Totals"," ",IF(+A14=" "," ",+B14+$B$8)))</f>
        <v>200000</v>
      </c>
      <c r="C15" s="91">
        <f>IF(A15="Totals",SUM($C$14),IF(A14="Totals"," ",IF(A14=" "," ",+B15*($D$5/100))))</f>
        <v>10000</v>
      </c>
      <c r="D15" s="92">
        <f>IF(A15="Totals",SUM($D$14),IF(A14="Totals"," ",IF(A14=" "," ",C15*($B$11/100))))</f>
        <v>3000</v>
      </c>
      <c r="E15" s="92">
        <f>IF(A15=" "," ",IF(A15="Totals",SUM(E$14:$E14),FV($D$11/100,$D$8-A15,0,-D15)))</f>
        <v>3000</v>
      </c>
    </row>
    <row r="16" spans="1:255" ht="15.75">
      <c r="A16" s="67">
        <f>IF(A15=" "," ",IF(A15="Totals"," ",IF(A15='Increasing Tax'!$D$8,"Totals",IF(A15&lt;'Increasing Tax'!$D$8,A15+1," "))))</f>
        <v>3</v>
      </c>
      <c r="B16" s="27">
        <f t="shared" si="0"/>
        <v>200000</v>
      </c>
      <c r="C16" s="91">
        <f>IF(A16="Totals",SUM(C14:$C$15),IF(A15="Totals"," ",IF(A15=" "," ",+B16*($D$5/100))))</f>
        <v>10000</v>
      </c>
      <c r="D16" s="92">
        <f>IF(A16="Totals",SUM(D14:$D$15),IF(A15="Totals"," ",IF(A15=" "," ",C16*($B$11/100))))</f>
        <v>3000</v>
      </c>
      <c r="E16" s="92">
        <f>IF(A16=" "," ",IF(A16="Totals",SUM(E$14:$E15),FV($D$11/100,$D$8-A16,0,-D16)))</f>
        <v>3000</v>
      </c>
    </row>
    <row r="17" spans="1:5" ht="15.75">
      <c r="A17" s="67">
        <f>IF(A16=" "," ",IF(A16="Totals"," ",IF(A16='Increasing Tax'!$D$8,"Totals",IF(A16&lt;'Increasing Tax'!$D$8,A16+1," "))))</f>
        <v>4</v>
      </c>
      <c r="B17" s="27">
        <f t="shared" si="0"/>
        <v>200000</v>
      </c>
      <c r="C17" s="91">
        <f>IF(A17="Totals",SUM(C14:$C$16),IF(A16="Totals"," ",IF(A16=" "," ",+B17*($D$5/100))))</f>
        <v>10000</v>
      </c>
      <c r="D17" s="92">
        <f>IF(A17="Totals",SUM(D14:$D$16),IF(A16="Totals"," ",IF(A16=" "," ",C17*($B$11/100))))</f>
        <v>3000</v>
      </c>
      <c r="E17" s="92">
        <f>IF(A17=" "," ",IF(A17="Totals",SUM(E$14:$E16),FV($D$11/100,$D$8-A17,0,-D17)))</f>
        <v>3000</v>
      </c>
    </row>
    <row r="18" spans="1:5" ht="15.75">
      <c r="A18" s="67">
        <f>IF(A17=" "," ",IF(A17="Totals"," ",IF(A17='Increasing Tax'!$D$8,"Totals",IF(A17&lt;'Increasing Tax'!$D$8,A17+1," "))))</f>
        <v>5</v>
      </c>
      <c r="B18" s="27">
        <f t="shared" si="0"/>
        <v>200000</v>
      </c>
      <c r="C18" s="91">
        <f>IF(A18="Totals",SUM(C14:$C$17),IF(A17="Totals"," ",IF(A17=" "," ",+B18*($D$5/100))))</f>
        <v>10000</v>
      </c>
      <c r="D18" s="92">
        <f>IF(A18="Totals",SUM(D14:$D$17),IF(A17="Totals"," ",IF(A17=" "," ",C18*($B$11/100))))</f>
        <v>3000</v>
      </c>
      <c r="E18" s="92">
        <f>IF(A18=" "," ",IF(A18="Totals",SUM(E$14:$E17),FV($D$11/100,$D$8-A18,0,-D18)))</f>
        <v>3000</v>
      </c>
    </row>
    <row r="19" spans="1:5" ht="15.75">
      <c r="A19" s="67">
        <f>IF(A18=" "," ",IF(A18="Totals"," ",IF(A18='Increasing Tax'!$D$8,"Totals",IF(A18&lt;'Increasing Tax'!$D$8,A18+1," "))))</f>
        <v>6</v>
      </c>
      <c r="B19" s="27">
        <f t="shared" si="0"/>
        <v>200000</v>
      </c>
      <c r="C19" s="91">
        <f>IF(A19="Totals",SUM(C14:$C$18),IF(A18="Totals"," ",IF(A18=" "," ",+B19*($D$5/100))))</f>
        <v>10000</v>
      </c>
      <c r="D19" s="92">
        <f>IF(A19="Totals",SUM(D14:$D$18),IF(A18="Totals"," ",IF(A18=" "," ",C19*($B$11/100))))</f>
        <v>3000</v>
      </c>
      <c r="E19" s="92">
        <f>IF(A19=" "," ",IF(A19="Totals",SUM(E$14:$E18),FV($D$11/100,$D$8-A19,0,-D19)))</f>
        <v>3000</v>
      </c>
    </row>
    <row r="20" spans="1:5" ht="15.75">
      <c r="A20" s="67">
        <f>IF(A19=" "," ",IF(A19="Totals"," ",IF(A19='Increasing Tax'!$D$8,"Totals",IF(A19&lt;'Increasing Tax'!$D$8,A19+1," "))))</f>
        <v>7</v>
      </c>
      <c r="B20" s="27">
        <f t="shared" si="0"/>
        <v>200000</v>
      </c>
      <c r="C20" s="91">
        <f>IF(A20="Totals",SUM(C14:$C$19),IF(A19="Totals"," ",IF(A19=" "," ",+B20*($D$5/100))))</f>
        <v>10000</v>
      </c>
      <c r="D20" s="92">
        <f>IF(A20="Totals",SUM(D14:$D$19),IF(A19="Totals"," ",IF(A19=" "," ",C20*($B$11/100))))</f>
        <v>3000</v>
      </c>
      <c r="E20" s="92">
        <f>IF(A20=" "," ",IF(A20="Totals",SUM(E$14:$E19),FV($D$11/100,$D$8-A20,0,-D20)))</f>
        <v>3000</v>
      </c>
    </row>
    <row r="21" spans="1:5" ht="15.75">
      <c r="A21" s="67">
        <f>IF(A20=" "," ",IF(A20="Totals"," ",IF(A20='Increasing Tax'!$D$8,"Totals",IF(A20&lt;'Increasing Tax'!$D$8,A20+1," "))))</f>
        <v>8</v>
      </c>
      <c r="B21" s="27">
        <f t="shared" si="0"/>
        <v>200000</v>
      </c>
      <c r="C21" s="91">
        <f>IF(A21="Totals",SUM(C14:$C$20),IF(A20="Totals"," ",IF(A20=" "," ",+B21*($D$5/100))))</f>
        <v>10000</v>
      </c>
      <c r="D21" s="92">
        <f>IF(A21="Totals",SUM(D14:$D$20),IF(A20="Totals"," ",IF(A20=" "," ",C21*($B$11/100))))</f>
        <v>3000</v>
      </c>
      <c r="E21" s="92">
        <f>IF(A21=" "," ",IF(A21="Totals",SUM(E$14:$E20),FV($D$11/100,$D$8-A21,0,-D21)))</f>
        <v>3000</v>
      </c>
    </row>
    <row r="22" spans="1:5" ht="15.75">
      <c r="A22" s="67">
        <f>IF(A21=" "," ",IF(A21="Totals"," ",IF(A21='Increasing Tax'!$D$8,"Totals",IF(A21&lt;'Increasing Tax'!$D$8,A21+1," "))))</f>
        <v>9</v>
      </c>
      <c r="B22" s="27">
        <f t="shared" si="0"/>
        <v>200000</v>
      </c>
      <c r="C22" s="91">
        <f>IF(A22="Totals",SUM(C14:$C$21),IF(A21="Totals"," ",IF(A21=" "," ",+B22*($D$5/100))))</f>
        <v>10000</v>
      </c>
      <c r="D22" s="92">
        <f>IF(A22="Totals",SUM(D14:$D$21),IF(A21="Totals"," ",IF(A21=" "," ",C22*($B$11/100))))</f>
        <v>3000</v>
      </c>
      <c r="E22" s="92">
        <f>IF(A22=" "," ",IF(A22="Totals",SUM(E$14:$E21),FV($D$11/100,$D$8-A22,0,-D22)))</f>
        <v>3000</v>
      </c>
    </row>
    <row r="23" spans="1:5" ht="15.75">
      <c r="A23" s="67">
        <f>IF(A22=" "," ",IF(A22="Totals"," ",IF(A22='Increasing Tax'!$D$8,"Totals",IF(A22&lt;'Increasing Tax'!$D$8,A22+1," "))))</f>
        <v>10</v>
      </c>
      <c r="B23" s="27">
        <f t="shared" si="0"/>
        <v>200000</v>
      </c>
      <c r="C23" s="91">
        <f>IF(A23="Totals",SUM(C14:$C$22),IF(A22="Totals"," ",IF(A22=" "," ",+B23*($D$5/100))))</f>
        <v>10000</v>
      </c>
      <c r="D23" s="92">
        <f>IF(A23="Totals",SUM(D14:$D$22),IF(A22="Totals"," ",IF(A22=" "," ",C23*($B$11/100))))</f>
        <v>3000</v>
      </c>
      <c r="E23" s="92">
        <f>IF(A23=" "," ",IF(A23="Totals",SUM(E$14:$E22),FV($D$11/100,$D$8-A23,0,-D23)))</f>
        <v>3000</v>
      </c>
    </row>
    <row r="24" spans="1:5" ht="15.75">
      <c r="A24" s="67">
        <f>IF(A23=" "," ",IF(A23="Totals"," ",IF(A23='Increasing Tax'!$D$8,"Totals",IF(A23&lt;'Increasing Tax'!$D$8,A23+1," "))))</f>
        <v>11</v>
      </c>
      <c r="B24" s="27">
        <f t="shared" si="0"/>
        <v>200000</v>
      </c>
      <c r="C24" s="91">
        <f>IF(A24="Totals",SUM(C14:$C$23),IF(A23="Totals"," ",IF(A23=" "," ",+B24*($D$5/100))))</f>
        <v>10000</v>
      </c>
      <c r="D24" s="92">
        <f>IF(A24="Totals",SUM(D14:$D$23),IF(A23="Totals"," ",IF(A23=" "," ",C24*($B$11/100))))</f>
        <v>3000</v>
      </c>
      <c r="E24" s="92">
        <f>IF(A24=" "," ",IF(A24="Totals",SUM(E$14:$E23),FV($D$11/100,$D$8-A24,0,-D24)))</f>
        <v>3000</v>
      </c>
    </row>
    <row r="25" spans="1:5" ht="15.75">
      <c r="A25" s="67">
        <f>IF(A24=" "," ",IF(A24="Totals"," ",IF(A24='Increasing Tax'!$D$8,"Totals",IF(A24&lt;'Increasing Tax'!$D$8,A24+1," "))))</f>
        <v>12</v>
      </c>
      <c r="B25" s="27">
        <f t="shared" si="0"/>
        <v>200000</v>
      </c>
      <c r="C25" s="91">
        <f>IF(A25="Totals",SUM(C14:$C$24),IF(A24="Totals"," ",IF(A24=" "," ",+B25*($D$5/100))))</f>
        <v>10000</v>
      </c>
      <c r="D25" s="92">
        <f>IF(A25="Totals",SUM(D14:$D$24),IF(A24="Totals"," ",IF(A24=" "," ",C25*($B$11/100))))</f>
        <v>3000</v>
      </c>
      <c r="E25" s="92">
        <f>IF(A25=" "," ",IF(A25="Totals",SUM(E$14:$E24),FV($D$11/100,$D$8-A25,0,-D25)))</f>
        <v>3000</v>
      </c>
    </row>
    <row r="26" spans="1:5" ht="15.75">
      <c r="A26" s="67">
        <f>IF(A25=" "," ",IF(A25="Totals"," ",IF(A25='Increasing Tax'!$D$8,"Totals",IF(A25&lt;'Increasing Tax'!$D$8,A25+1," "))))</f>
        <v>13</v>
      </c>
      <c r="B26" s="27">
        <f t="shared" si="0"/>
        <v>200000</v>
      </c>
      <c r="C26" s="91">
        <f>IF(A26="Totals",SUM(C14:$C$25),IF(A25="Totals"," ",IF(A25=" "," ",+B26*($D$5/100))))</f>
        <v>10000</v>
      </c>
      <c r="D26" s="92">
        <f>IF(A26="Totals",SUM(D14:$D$25),IF(A25="Totals"," ",IF(A25=" "," ",C26*($B$11/100))))</f>
        <v>3000</v>
      </c>
      <c r="E26" s="92">
        <f>IF(A26=" "," ",IF(A26="Totals",SUM(E$14:$E25),FV($D$11/100,$D$8-A26,0,-D26)))</f>
        <v>3000</v>
      </c>
    </row>
    <row r="27" spans="1:5" ht="15.75">
      <c r="A27" s="67">
        <f>IF(A26=" "," ",IF(A26="Totals"," ",IF(A26='Increasing Tax'!$D$8,"Totals",IF(A26&lt;'Increasing Tax'!$D$8,A26+1," "))))</f>
        <v>14</v>
      </c>
      <c r="B27" s="27">
        <f t="shared" si="0"/>
        <v>200000</v>
      </c>
      <c r="C27" s="91">
        <f>IF(A27="Totals",SUM(C14:$C$26),IF(A26="Totals"," ",IF(A26=" "," ",+B27*($D$5/100))))</f>
        <v>10000</v>
      </c>
      <c r="D27" s="92">
        <f>IF(A27="Totals",SUM(D14:$D$26),IF(A26="Totals"," ",IF(A26=" "," ",C27*($B$11/100))))</f>
        <v>3000</v>
      </c>
      <c r="E27" s="92">
        <f>IF(A27=" "," ",IF(A27="Totals",SUM(E$14:$E26),FV($D$11/100,$D$8-A27,0,-D27)))</f>
        <v>3000</v>
      </c>
    </row>
    <row r="28" spans="1:5" ht="15.75">
      <c r="A28" s="67">
        <f>IF(A27=" "," ",IF(A27="Totals"," ",IF(A27='Increasing Tax'!$D$8,"Totals",IF(A27&lt;'Increasing Tax'!$D$8,A27+1," "))))</f>
        <v>15</v>
      </c>
      <c r="B28" s="27">
        <f t="shared" si="0"/>
        <v>200000</v>
      </c>
      <c r="C28" s="91">
        <f>IF(A28="Totals",SUM(C14:$C$27),IF(A27="Totals"," ",IF(A27=" "," ",+B28*($D$5/100))))</f>
        <v>10000</v>
      </c>
      <c r="D28" s="92">
        <f>IF(A28="Totals",SUM(D14:$D$27),IF(A27="Totals"," ",IF(A27=" "," ",C28*($B$11/100))))</f>
        <v>3000</v>
      </c>
      <c r="E28" s="92">
        <f>IF(A28=" "," ",IF(A28="Totals",SUM(E$14:$E27),FV($D$11/100,$D$8-A28,0,-D28)))</f>
        <v>3000</v>
      </c>
    </row>
    <row r="29" spans="1:5" ht="15.75">
      <c r="A29" s="67">
        <f>IF(A28=" "," ",IF(A28="Totals"," ",IF(A28='Increasing Tax'!$D$8,"Totals",IF(A28&lt;'Increasing Tax'!$D$8,A28+1," "))))</f>
        <v>16</v>
      </c>
      <c r="B29" s="27">
        <f t="shared" si="0"/>
        <v>200000</v>
      </c>
      <c r="C29" s="91">
        <f>IF(A29="Totals",SUM(C14:$C$28),IF(A28="Totals"," ",IF(A28=" "," ",+B29*($D$5/100))))</f>
        <v>10000</v>
      </c>
      <c r="D29" s="92">
        <f>IF(A29="Totals",SUM(D14:$D$28),IF(A28="Totals"," ",IF(A28=" "," ",C29*($B$11/100))))</f>
        <v>3000</v>
      </c>
      <c r="E29" s="92">
        <f>IF(A29=" "," ",IF(A29="Totals",SUM(E$14:$E28),FV($D$11/100,$D$8-A29,0,-D29)))</f>
        <v>3000</v>
      </c>
    </row>
    <row r="30" spans="1:5" ht="15.75">
      <c r="A30" s="67">
        <f>IF(A29=" "," ",IF(A29="Totals"," ",IF(A29='Increasing Tax'!$D$8,"Totals",IF(A29&lt;'Increasing Tax'!$D$8,A29+1," "))))</f>
        <v>17</v>
      </c>
      <c r="B30" s="27">
        <f t="shared" si="0"/>
        <v>200000</v>
      </c>
      <c r="C30" s="91">
        <f>IF(A30="Totals",SUM(C14:$C$29),IF(A29="Totals"," ",IF(A29=" "," ",+B30*($D$5/100))))</f>
        <v>10000</v>
      </c>
      <c r="D30" s="92">
        <f>IF(A30="Totals",SUM(D14:$D$29),IF(A29="Totals"," ",IF(A29=" "," ",C30*($B$11/100))))</f>
        <v>3000</v>
      </c>
      <c r="E30" s="92">
        <f>IF(A30=" "," ",IF(A30="Totals",SUM(E$14:$E29),FV($D$11/100,$D$8-A30,0,-D30)))</f>
        <v>3000</v>
      </c>
    </row>
    <row r="31" spans="1:5" ht="15.75">
      <c r="A31" s="67">
        <f>IF(A30=" "," ",IF(A30="Totals"," ",IF(A30='Increasing Tax'!$D$8,"Totals",IF(A30&lt;'Increasing Tax'!$D$8,A30+1," "))))</f>
        <v>18</v>
      </c>
      <c r="B31" s="27">
        <f t="shared" si="0"/>
        <v>200000</v>
      </c>
      <c r="C31" s="91">
        <f>IF(A31="Totals",SUM(C14:$C$30),IF(A30="Totals"," ",IF(A30=" "," ",+B31*($D$5/100))))</f>
        <v>10000</v>
      </c>
      <c r="D31" s="92">
        <f>IF(A31="Totals",SUM(D14:$D$30),IF(A30="Totals"," ",IF(A30=" "," ",C31*($B$11/100))))</f>
        <v>3000</v>
      </c>
      <c r="E31" s="92">
        <f>IF(A31=" "," ",IF(A31="Totals",SUM(E$14:$E30),FV($D$11/100,$D$8-A31,0,-D31)))</f>
        <v>3000</v>
      </c>
    </row>
    <row r="32" spans="1:5" ht="15.75">
      <c r="A32" s="67">
        <f>IF(A31=" "," ",IF(A31="Totals"," ",IF(A31='Increasing Tax'!$D$8,"Totals",IF(A31&lt;'Increasing Tax'!$D$8,A31+1," "))))</f>
        <v>19</v>
      </c>
      <c r="B32" s="27">
        <f t="shared" si="0"/>
        <v>200000</v>
      </c>
      <c r="C32" s="91">
        <f>IF(A32="Totals",SUM(C14:$C$31),IF(A31="Totals"," ",IF(A31=" "," ",+B32*($D$5/100))))</f>
        <v>10000</v>
      </c>
      <c r="D32" s="92">
        <f>IF(A32="Totals",SUM(D14:$D$31),IF(A31="Totals"," ",IF(A31=" "," ",C32*($B$11/100))))</f>
        <v>3000</v>
      </c>
      <c r="E32" s="92">
        <f>IF(A32=" "," ",IF(A32="Totals",SUM(E$14:$E31),FV($D$11/100,$D$8-A32,0,-D32)))</f>
        <v>3000</v>
      </c>
    </row>
    <row r="33" spans="1:5" ht="15.75">
      <c r="A33" s="67">
        <f>IF(A32=" "," ",IF(A32="Totals"," ",IF(A32='Increasing Tax'!$D$8,"Totals",IF(A32&lt;'Increasing Tax'!$D$8,A32+1," "))))</f>
        <v>20</v>
      </c>
      <c r="B33" s="27">
        <f t="shared" si="0"/>
        <v>200000</v>
      </c>
      <c r="C33" s="91">
        <f>IF(A33="Totals",SUM(C14:$C$32),IF(A32="Totals"," ",IF(A32=" "," ",+B33*($D$5/100))))</f>
        <v>10000</v>
      </c>
      <c r="D33" s="92">
        <f>IF(A33="Totals",SUM(D14:$D$32),IF(A32="Totals"," ",IF(A32=" "," ",C33*($B$11/100))))</f>
        <v>3000</v>
      </c>
      <c r="E33" s="92">
        <f>IF(A33=" "," ",IF(A33="Totals",SUM(E$14:$E32),FV($D$11/100,$D$8-A33,0,-D33)))</f>
        <v>3000</v>
      </c>
    </row>
    <row r="34" spans="1:5" ht="15.75">
      <c r="A34" s="67" t="str">
        <f>IF(A33=" "," ",IF(A33="Totals"," ",IF(A33='Increasing Tax'!$D$8,"Totals",IF(A33&lt;'Increasing Tax'!$D$8,A33+1," "))))</f>
        <v>Totals</v>
      </c>
      <c r="B34" s="27">
        <f t="shared" si="0"/>
        <v>200000</v>
      </c>
      <c r="C34" s="91">
        <f>IF(A34="Totals",SUM(C14:$C$33),IF(A33="Totals"," ",IF(A33=" "," ",+B34*($D$5/100))))</f>
        <v>200000</v>
      </c>
      <c r="D34" s="92">
        <f>IF(A34="Totals",SUM(D14:$D$33),IF(A33="Totals"," ",IF(A33=" "," ",C34*($B$11/100))))</f>
        <v>60000</v>
      </c>
      <c r="E34" s="92">
        <f>IF(A34=" "," ",IF(A34="Totals",SUM(E$14:$E33),FV($D$11/100,$D$8-A34,0,-D34)))</f>
        <v>60000</v>
      </c>
    </row>
    <row r="35" spans="1:5" ht="15.75">
      <c r="A35" s="67" t="str">
        <f>IF(A34=" "," ",IF(A34="Totals"," ",IF(A34='Increasing Tax'!$D$8,"Totals",IF(A34&lt;'Increasing Tax'!$D$8,A34+1," "))))</f>
        <v xml:space="preserve"> </v>
      </c>
      <c r="B35" s="27" t="str">
        <f t="shared" si="0"/>
        <v xml:space="preserve"> </v>
      </c>
      <c r="C35" s="91" t="str">
        <f>IF(A35="Totals",SUM(C14:$C$34),IF(A34="Totals"," ",IF(A34=" "," ",+B35*($D$5/100))))</f>
        <v xml:space="preserve"> </v>
      </c>
      <c r="D35" s="92" t="str">
        <f>IF(A35="Totals",SUM(D14:$D$34),IF(A34="Totals"," ",IF(A34=" "," ",C35*($B$11/100))))</f>
        <v xml:space="preserve"> </v>
      </c>
      <c r="E35" s="92" t="str">
        <f>IF(A35=" "," ",IF(A35="Totals",SUM(E$14:$E34),FV($D$11/100,$D$8-A35,0,-D35)))</f>
        <v xml:space="preserve"> </v>
      </c>
    </row>
    <row r="36" spans="1:5" ht="15.75">
      <c r="A36" s="67" t="str">
        <f>IF(A35=" "," ",IF(A35="Totals"," ",IF(A35='Increasing Tax'!$D$8,"Totals",IF(A35&lt;'Increasing Tax'!$D$8,A35+1," "))))</f>
        <v xml:space="preserve"> </v>
      </c>
      <c r="B36" s="27" t="str">
        <f t="shared" si="0"/>
        <v xml:space="preserve"> </v>
      </c>
      <c r="C36" s="91" t="str">
        <f>IF(A36="Totals",SUM(C14:$C$35),IF(A35="Totals"," ",IF(A35=" "," ",+B36*($D$5/100))))</f>
        <v xml:space="preserve"> </v>
      </c>
      <c r="D36" s="92" t="str">
        <f>IF(A36="Totals",SUM(D14:$D$35),IF(A35="Totals"," ",IF(A35=" "," ",C36*($B$11/100))))</f>
        <v xml:space="preserve"> </v>
      </c>
      <c r="E36" s="92" t="str">
        <f>IF(A36=" "," ",IF(A36="Totals",SUM(E$14:$E35),FV($D$11/100,$D$8-A36,0,-D36)))</f>
        <v xml:space="preserve"> </v>
      </c>
    </row>
    <row r="37" spans="1:5" ht="15.75">
      <c r="A37" s="67" t="str">
        <f>IF(A36=" "," ",IF(A36="Totals"," ",IF(A36='Increasing Tax'!$D$8,"Totals",IF(A36&lt;'Increasing Tax'!$D$8,A36+1," "))))</f>
        <v xml:space="preserve"> </v>
      </c>
      <c r="B37" s="27" t="str">
        <f t="shared" si="0"/>
        <v xml:space="preserve"> </v>
      </c>
      <c r="C37" s="91" t="str">
        <f>IF(A37="Totals",SUM(C14:$C$36),IF(A36="Totals"," ",IF(A36=" "," ",+B37*($D$5/100))))</f>
        <v xml:space="preserve"> </v>
      </c>
      <c r="D37" s="92" t="str">
        <f>IF(A37="Totals",SUM(D14:$D$36),IF(A36="Totals"," ",IF(A36=" "," ",C37*($B$11/100))))</f>
        <v xml:space="preserve"> </v>
      </c>
      <c r="E37" s="92" t="str">
        <f>IF(A37=" "," ",IF(A37="Totals",SUM(E$14:$E36),FV($D$11/100,$D$8-A37,0,-D37)))</f>
        <v xml:space="preserve"> </v>
      </c>
    </row>
    <row r="38" spans="1:5" ht="15.75">
      <c r="A38" s="67" t="str">
        <f>IF(A37=" "," ",IF(A37="Totals"," ",IF(A37='Increasing Tax'!$D$8,"Totals",IF(A37&lt;'Increasing Tax'!$D$8,A37+1," "))))</f>
        <v xml:space="preserve"> </v>
      </c>
      <c r="B38" s="27" t="str">
        <f t="shared" si="0"/>
        <v xml:space="preserve"> </v>
      </c>
      <c r="C38" s="91" t="str">
        <f>IF(A38="Totals",SUM(C14:$C$37),IF(A37="Totals"," ",IF(A37=" "," ",+B38*($D$5/100))))</f>
        <v xml:space="preserve"> </v>
      </c>
      <c r="D38" s="92" t="str">
        <f>IF(A38="Totals",SUM(D14:$D$37),IF(A37="Totals"," ",IF(A37=" "," ",C38*($B$11/100))))</f>
        <v xml:space="preserve"> </v>
      </c>
      <c r="E38" s="92" t="str">
        <f>IF(A38=" "," ",IF(A38="Totals",SUM(E$14:$E37),FV($D$11/100,$D$8-A38,0,-D38)))</f>
        <v xml:space="preserve"> </v>
      </c>
    </row>
    <row r="39" spans="1:5" ht="15.75">
      <c r="A39" s="67" t="str">
        <f>IF(A38=" "," ",IF(A38="Totals"," ",IF(A38='Increasing Tax'!$D$8,"Totals",IF(A38&lt;'Increasing Tax'!$D$8,A38+1," "))))</f>
        <v xml:space="preserve"> </v>
      </c>
      <c r="B39" s="27" t="str">
        <f t="shared" si="0"/>
        <v xml:space="preserve"> </v>
      </c>
      <c r="C39" s="91" t="str">
        <f>IF(A39="Totals",SUM(C14:$C$38),IF(A38="Totals"," ",IF(A38=" "," ",+B39*($D$5/100))))</f>
        <v xml:space="preserve"> </v>
      </c>
      <c r="D39" s="92" t="str">
        <f>IF(A39="Totals",SUM(D14:$D$38),IF(A38="Totals"," ",IF(A38=" "," ",C39*($B$11/100))))</f>
        <v xml:space="preserve"> </v>
      </c>
      <c r="E39" s="92" t="str">
        <f>IF(A39=" "," ",IF(A39="Totals",SUM(E$14:$E38),FV($D$11/100,$D$8-A39,0,-D39)))</f>
        <v xml:space="preserve"> </v>
      </c>
    </row>
    <row r="40" spans="1:5" ht="15.75">
      <c r="A40" s="67" t="str">
        <f>IF(A39=" "," ",IF(A39="Totals"," ",IF(A39='Increasing Tax'!$D$8,"Totals",IF(A39&lt;'Increasing Tax'!$D$8,A39+1," "))))</f>
        <v xml:space="preserve"> </v>
      </c>
      <c r="B40" s="27" t="str">
        <f t="shared" si="0"/>
        <v xml:space="preserve"> </v>
      </c>
      <c r="C40" s="91" t="str">
        <f>IF(A40="Totals",SUM(C14:$C$39),IF(A39="Totals"," ",IF(A39=" "," ",+B40*($D$5/100))))</f>
        <v xml:space="preserve"> </v>
      </c>
      <c r="D40" s="92" t="str">
        <f>IF(A40="Totals",SUM(D14:$D$39),IF(A39="Totals"," ",IF(A39=" "," ",C40*($B$11/100))))</f>
        <v xml:space="preserve"> </v>
      </c>
      <c r="E40" s="92" t="str">
        <f>IF(A40=" "," ",IF(A40="Totals",SUM(E$14:$E39),FV($D$11/100,$D$8-A40,0,-D40)))</f>
        <v xml:space="preserve"> </v>
      </c>
    </row>
    <row r="41" spans="1:5" ht="15.75">
      <c r="A41" s="67" t="str">
        <f>IF(A40=" "," ",IF(A40="Totals"," ",IF(A40='Increasing Tax'!$D$8,"Totals",IF(A40&lt;'Increasing Tax'!$D$8,A40+1," "))))</f>
        <v xml:space="preserve"> </v>
      </c>
      <c r="B41" s="27" t="str">
        <f t="shared" si="0"/>
        <v xml:space="preserve"> </v>
      </c>
      <c r="C41" s="91" t="str">
        <f>IF(A41="Totals",SUM(C14:$C$40),IF(A40="Totals"," ",IF(A40=" "," ",+B41*($D$5/100))))</f>
        <v xml:space="preserve"> </v>
      </c>
      <c r="D41" s="92" t="str">
        <f>IF(A41="Totals",SUM(D14:$D$40),IF(A40="Totals"," ",IF(A40=" "," ",C41*($B$11/100))))</f>
        <v xml:space="preserve"> </v>
      </c>
      <c r="E41" s="92" t="str">
        <f>IF(A41=" "," ",IF(A41="Totals",SUM(E$14:$E40),FV($D$11/100,$D$8-A41,0,-D41)))</f>
        <v xml:space="preserve"> </v>
      </c>
    </row>
    <row r="42" spans="1:5" ht="15.75">
      <c r="A42" s="67" t="str">
        <f>IF(A41=" "," ",IF(A41="Totals"," ",IF(A41='Increasing Tax'!$D$8,"Totals",IF(A41&lt;'Increasing Tax'!$D$8,A41+1," "))))</f>
        <v xml:space="preserve"> </v>
      </c>
      <c r="B42" s="27" t="str">
        <f t="shared" si="0"/>
        <v xml:space="preserve"> </v>
      </c>
      <c r="C42" s="91" t="str">
        <f>IF(A42="Totals",SUM(C14:$C$41),IF(A41="Totals"," ",IF(A41=" "," ",+B42*($D$5/100))))</f>
        <v xml:space="preserve"> </v>
      </c>
      <c r="D42" s="92" t="str">
        <f>IF(A42="Totals",SUM(D14:$D$41),IF(A41="Totals"," ",IF(A41=" "," ",C42*($B$11/100))))</f>
        <v xml:space="preserve"> </v>
      </c>
      <c r="E42" s="92" t="str">
        <f>IF(A42=" "," ",IF(A42="Totals",SUM(E$14:$E41),FV($D$11/100,$D$8-A42,0,-D42)))</f>
        <v xml:space="preserve"> </v>
      </c>
    </row>
    <row r="43" spans="1:5" ht="15.75">
      <c r="A43" s="67" t="str">
        <f>IF(A42=" "," ",IF(A42="Totals"," ",IF(A42='Increasing Tax'!$D$8,"Totals",IF(A42&lt;'Increasing Tax'!$D$8,A42+1," "))))</f>
        <v xml:space="preserve"> </v>
      </c>
      <c r="B43" s="27" t="str">
        <f t="shared" si="0"/>
        <v xml:space="preserve"> </v>
      </c>
      <c r="C43" s="91" t="str">
        <f>IF(A43="Totals",SUM(C14:$C$42),IF(A42="Totals"," ",IF(A42=" "," ",+B43*($D$5/100))))</f>
        <v xml:space="preserve"> </v>
      </c>
      <c r="D43" s="92" t="str">
        <f>IF(A43="Totals",SUM(D14:$D$42),IF(A42="Totals"," ",IF(A42=" "," ",C43*($B$11/100))))</f>
        <v xml:space="preserve"> </v>
      </c>
      <c r="E43" s="92" t="str">
        <f>IF(A43=" "," ",IF(A43="Totals",SUM(E$14:$E42),FV($D$11/100,$D$8-A43,0,-D43)))</f>
        <v xml:space="preserve"> </v>
      </c>
    </row>
    <row r="44" spans="1:5" ht="15.75">
      <c r="A44" s="67" t="str">
        <f>IF(A43=" "," ",IF(A43="Totals"," ",IF(A43='Increasing Tax'!$D$8,"Totals",IF(A43&lt;'Increasing Tax'!$D$8,A43+1," "))))</f>
        <v xml:space="preserve"> </v>
      </c>
      <c r="B44" s="27" t="str">
        <f t="shared" si="0"/>
        <v xml:space="preserve"> </v>
      </c>
      <c r="C44" s="91" t="str">
        <f>IF(A44="Totals",SUM(C14:$C$43),IF(A43="Totals"," ",IF(A43=" "," ",+B44*($D$5/100))))</f>
        <v xml:space="preserve"> </v>
      </c>
      <c r="D44" s="92" t="str">
        <f>IF(A44="Totals",SUM(D14:$D$43),IF(A43="Totals"," ",IF(A43=" "," ",C44*($B$11/100))))</f>
        <v xml:space="preserve"> </v>
      </c>
      <c r="E44" s="92" t="str">
        <f>IF(A44=" "," ",IF(A44="Totals",SUM(E$14:$E43),FV($D$11/100,$D$8-A44,0,-D44)))</f>
        <v xml:space="preserve"> </v>
      </c>
    </row>
    <row r="45" spans="1:5" ht="15.75">
      <c r="A45" s="67" t="str">
        <f>IF(A44=" "," ",IF(A44="Totals"," ",IF(A44='Increasing Tax'!$D$8,"Totals",IF(A44&lt;'Increasing Tax'!$D$8,A44+1," "))))</f>
        <v xml:space="preserve"> </v>
      </c>
      <c r="B45" s="27" t="str">
        <f t="shared" si="0"/>
        <v xml:space="preserve"> </v>
      </c>
      <c r="C45" s="91" t="str">
        <f>IF(A45="Totals",SUM(C14:$C$44),IF(A44="Totals"," ",IF(A44=" "," ",+B45*($D$5/100))))</f>
        <v xml:space="preserve"> </v>
      </c>
      <c r="D45" s="92" t="str">
        <f>IF(A45="Totals",SUM(D14:$D$44),IF(A44="Totals"," ",IF(A44=" "," ",C45*($B$11/100))))</f>
        <v xml:space="preserve"> </v>
      </c>
      <c r="E45" s="92" t="str">
        <f>IF(A45=" "," ",IF(A45="Totals",SUM(E$14:$E44),FV($D$11/100,$D$8-A45,0,-D45)))</f>
        <v xml:space="preserve"> </v>
      </c>
    </row>
    <row r="46" spans="1:5" ht="15.75">
      <c r="A46" s="67" t="str">
        <f>IF(A45=" "," ",IF(A45="Totals"," ",IF(A45='Increasing Tax'!$D$8,"Totals",IF(A45&lt;'Increasing Tax'!$D$8,A45+1," "))))</f>
        <v xml:space="preserve"> </v>
      </c>
      <c r="B46" s="27" t="str">
        <f t="shared" si="0"/>
        <v xml:space="preserve"> </v>
      </c>
      <c r="C46" s="91" t="str">
        <f>IF(A46="Totals",SUM(C14:$C$45),IF(A45="Totals"," ",IF(A45=" "," ",+B46*($D$5/100))))</f>
        <v xml:space="preserve"> </v>
      </c>
      <c r="D46" s="92" t="str">
        <f>IF(A46="Totals",SUM(D14:$D$45),IF(A45="Totals"," ",IF(A45=" "," ",C46*($B$11/100))))</f>
        <v xml:space="preserve"> </v>
      </c>
      <c r="E46" s="92" t="str">
        <f>IF(A46=" "," ",IF(A46="Totals",SUM(E$14:$E45),FV($D$11/100,$D$8-A46,0,-D46)))</f>
        <v xml:space="preserve"> </v>
      </c>
    </row>
    <row r="47" spans="1:5" ht="15.75">
      <c r="A47" s="67" t="str">
        <f>IF(A46=" "," ",IF(A46="Totals"," ",IF(A46='Increasing Tax'!$D$8,"Totals",IF(A46&lt;'Increasing Tax'!$D$8,A46+1," "))))</f>
        <v xml:space="preserve"> </v>
      </c>
      <c r="B47" s="27" t="str">
        <f t="shared" ref="B47:B64" si="1">IF(+A47="Totals",+B46+$B$8,IF(+A46="Totals"," ",IF(+A46=" "," ",+B46+$B$8)))</f>
        <v xml:space="preserve"> </v>
      </c>
      <c r="C47" s="91" t="str">
        <f>IF(A47="Totals",SUM(C14:$C$46),IF(A46="Totals"," ",IF(A46=" "," ",+B47*($D$5/100))))</f>
        <v xml:space="preserve"> </v>
      </c>
      <c r="D47" s="92" t="str">
        <f>IF(A47="Totals",SUM(D14:$D$46),IF(A46="Totals"," ",IF(A46=" "," ",C47*($B$11/100))))</f>
        <v xml:space="preserve"> </v>
      </c>
      <c r="E47" s="92" t="str">
        <f>IF(A47=" "," ",IF(A47="Totals",SUM(E$14:$E46),FV($D$11/100,$D$8-A47,0,-D47)))</f>
        <v xml:space="preserve"> </v>
      </c>
    </row>
    <row r="48" spans="1:5" ht="15.75">
      <c r="A48" s="67" t="str">
        <f>IF(A47=" "," ",IF(A47="Totals"," ",IF(A47='Increasing Tax'!$D$8,"Totals",IF(A47&lt;'Increasing Tax'!$D$8,A47+1," "))))</f>
        <v xml:space="preserve"> </v>
      </c>
      <c r="B48" s="27" t="str">
        <f t="shared" si="1"/>
        <v xml:space="preserve"> </v>
      </c>
      <c r="C48" s="91" t="str">
        <f>IF(A48="Totals",SUM(C14:$C$47),IF(A47="Totals"," ",IF(A47=" "," ",+B48*($D$5/100))))</f>
        <v xml:space="preserve"> </v>
      </c>
      <c r="D48" s="92" t="str">
        <f>IF(A48="Totals",SUM(D14:$D$47),IF(A47="Totals"," ",IF(A47=" "," ",C48*($B$11/100))))</f>
        <v xml:space="preserve"> </v>
      </c>
      <c r="E48" s="92" t="str">
        <f>IF(A48=" "," ",IF(A48="Totals",SUM(E$14:$E47),FV($D$11/100,$D$8-A48,0,-D48)))</f>
        <v xml:space="preserve"> </v>
      </c>
    </row>
    <row r="49" spans="1:5" ht="15.75">
      <c r="A49" s="67" t="str">
        <f>IF(A48=" "," ",IF(A48="Totals"," ",IF(A48='Increasing Tax'!$D$8,"Totals",IF(A48&lt;'Increasing Tax'!$D$8,A48+1," "))))</f>
        <v xml:space="preserve"> </v>
      </c>
      <c r="B49" s="27" t="str">
        <f t="shared" si="1"/>
        <v xml:space="preserve"> </v>
      </c>
      <c r="C49" s="91" t="str">
        <f>IF(A49="Totals",SUM(C14:$C$48),IF(A48="Totals"," ",IF(A48=" "," ",+B49*($D$5/100))))</f>
        <v xml:space="preserve"> </v>
      </c>
      <c r="D49" s="92" t="str">
        <f>IF(A49="Totals",SUM(D14:$D$48),IF(A48="Totals"," ",IF(A48=" "," ",C49*($B$11/100))))</f>
        <v xml:space="preserve"> </v>
      </c>
      <c r="E49" s="92" t="str">
        <f>IF(A49=" "," ",IF(A49="Totals",SUM(E$14:$E48),FV($D$11/100,$D$8-A49,0,-D49)))</f>
        <v xml:space="preserve"> </v>
      </c>
    </row>
    <row r="50" spans="1:5" ht="15.75">
      <c r="A50" s="67" t="str">
        <f>IF(A49=" "," ",IF(A49="Totals"," ",IF(A49='Increasing Tax'!$D$8,"Totals",IF(A49&lt;'Increasing Tax'!$D$8,A49+1," "))))</f>
        <v xml:space="preserve"> </v>
      </c>
      <c r="B50" s="27" t="str">
        <f t="shared" si="1"/>
        <v xml:space="preserve"> </v>
      </c>
      <c r="C50" s="91" t="str">
        <f>IF(A50="Totals",SUM(C14:$C$49),IF(A49="Totals"," ",IF(A49=" "," ",+B50*($D$5/100))))</f>
        <v xml:space="preserve"> </v>
      </c>
      <c r="D50" s="92" t="str">
        <f>IF(A50="Totals",SUM(D14:$D$49),IF(A49="Totals"," ",IF(A49=" "," ",C50*($B$11/100))))</f>
        <v xml:space="preserve"> </v>
      </c>
      <c r="E50" s="92" t="str">
        <f>IF(A50=" "," ",IF(A50="Totals",SUM(E$14:$E49),FV($D$11/100,$D$8-A50,0,-D50)))</f>
        <v xml:space="preserve"> </v>
      </c>
    </row>
    <row r="51" spans="1:5" ht="15.75">
      <c r="A51" s="67" t="str">
        <f>IF(A50=" "," ",IF(A50="Totals"," ",IF(A50='Increasing Tax'!$D$8,"Totals",IF(A50&lt;'Increasing Tax'!$D$8,A50+1," "))))</f>
        <v xml:space="preserve"> </v>
      </c>
      <c r="B51" s="27" t="str">
        <f t="shared" si="1"/>
        <v xml:space="preserve"> </v>
      </c>
      <c r="C51" s="91" t="str">
        <f>IF(A51="Totals",SUM(C14:$C$50),IF(A50="Totals"," ",IF(A50=" "," ",+B51*($D$5/100))))</f>
        <v xml:space="preserve"> </v>
      </c>
      <c r="D51" s="92" t="str">
        <f>IF(A51="Totals",SUM(D14:$D$50),IF(A50="Totals"," ",IF(A50=" "," ",C51*($B$11/100))))</f>
        <v xml:space="preserve"> </v>
      </c>
      <c r="E51" s="92" t="str">
        <f>IF(A51=" "," ",IF(A51="Totals",SUM(E$14:$E50),FV($D$11/100,$D$8-A51,0,-D51)))</f>
        <v xml:space="preserve"> </v>
      </c>
    </row>
    <row r="52" spans="1:5" ht="15.75">
      <c r="A52" s="67" t="str">
        <f>IF(A51=" "," ",IF(A51="Totals"," ",IF(A51='Increasing Tax'!$D$8,"Totals",IF(A51&lt;'Increasing Tax'!$D$8,A51+1," "))))</f>
        <v xml:space="preserve"> </v>
      </c>
      <c r="B52" s="27" t="str">
        <f t="shared" si="1"/>
        <v xml:space="preserve"> </v>
      </c>
      <c r="C52" s="91" t="str">
        <f>IF(A52="Totals",SUM(C14:$C$51),IF(A51="Totals"," ",IF(A51=" "," ",+B52*($D$5/100))))</f>
        <v xml:space="preserve"> </v>
      </c>
      <c r="D52" s="92" t="str">
        <f>IF(A52="Totals",SUM(D14:$D$51),IF(A51="Totals"," ",IF(A51=" "," ",C52*($B$11/100))))</f>
        <v xml:space="preserve"> </v>
      </c>
      <c r="E52" s="92" t="str">
        <f>IF(A52=" "," ",IF(A52="Totals",SUM(E$14:$E51),FV($D$11/100,$D$8-A52,0,-D52)))</f>
        <v xml:space="preserve"> </v>
      </c>
    </row>
    <row r="53" spans="1:5" ht="15.75">
      <c r="A53" s="67" t="str">
        <f>IF(A52=" "," ",IF(A52="Totals"," ",IF(A52='Increasing Tax'!$D$8,"Totals",IF(A52&lt;'Increasing Tax'!$D$8,A52+1," "))))</f>
        <v xml:space="preserve"> </v>
      </c>
      <c r="B53" s="27" t="str">
        <f t="shared" si="1"/>
        <v xml:space="preserve"> </v>
      </c>
      <c r="C53" s="91" t="str">
        <f>IF(A53="Totals",SUM(C14:$C$52),IF(A52="Totals"," ",IF(A52=" "," ",+B53*($D$5/100))))</f>
        <v xml:space="preserve"> </v>
      </c>
      <c r="D53" s="92" t="str">
        <f>IF(A53="Totals",SUM(D14:$D$52),IF(A52="Totals"," ",IF(A52=" "," ",C53*($B$11/100))))</f>
        <v xml:space="preserve"> </v>
      </c>
      <c r="E53" s="92" t="str">
        <f>IF(A53=" "," ",IF(A53="Totals",SUM(E$14:$E52),FV($D$11/100,$D$8-A53,0,-D53)))</f>
        <v xml:space="preserve"> </v>
      </c>
    </row>
    <row r="54" spans="1:5" ht="15.75">
      <c r="A54" s="67" t="str">
        <f>IF(A53=" "," ",IF(A53="Totals"," ",IF(A53='Increasing Tax'!$D$8,"Totals",IF(A53&lt;'Increasing Tax'!$D$8,A53+1," "))))</f>
        <v xml:space="preserve"> </v>
      </c>
      <c r="B54" s="27" t="str">
        <f t="shared" si="1"/>
        <v xml:space="preserve"> </v>
      </c>
      <c r="C54" s="91" t="str">
        <f>IF(A54="Totals",SUM(C14:$C$53),IF(A53="Totals"," ",IF(A53=" "," ",+B54*($D$5/100))))</f>
        <v xml:space="preserve"> </v>
      </c>
      <c r="D54" s="92" t="str">
        <f>IF(A54="Totals",SUM(D14:$D$53),IF(A53="Totals"," ",IF(A53=" "," ",C54*($B$11/100))))</f>
        <v xml:space="preserve"> </v>
      </c>
      <c r="E54" s="92" t="str">
        <f>IF(A54=" "," ",IF(A54="Totals",SUM(E$14:$E53),FV($D$11/100,$D$8-A54,0,-D54)))</f>
        <v xml:space="preserve"> </v>
      </c>
    </row>
    <row r="55" spans="1:5" ht="15.75">
      <c r="A55" s="67" t="str">
        <f>IF(A54=" "," ",IF(A54="Totals"," ",IF(A54='Increasing Tax'!$D$8,"Totals",IF(A54&lt;'Increasing Tax'!$D$8,A54+1," "))))</f>
        <v xml:space="preserve"> </v>
      </c>
      <c r="B55" s="27" t="str">
        <f t="shared" si="1"/>
        <v xml:space="preserve"> </v>
      </c>
      <c r="C55" s="91" t="str">
        <f>IF(A55="Totals",SUM(C14:$C$54),IF(A54="Totals"," ",IF(A54=" "," ",+B55*($D$5/100))))</f>
        <v xml:space="preserve"> </v>
      </c>
      <c r="D55" s="92" t="str">
        <f>IF(A55="Totals",SUM(D14:$D$54),IF(A54="Totals"," ",IF(A54=" "," ",C55*($B$11/100))))</f>
        <v xml:space="preserve"> </v>
      </c>
      <c r="E55" s="92" t="str">
        <f>IF(A55=" "," ",IF(A55="Totals",SUM(E$14:$E54),FV($D$11/100,$D$8-A55,0,-D55)))</f>
        <v xml:space="preserve"> </v>
      </c>
    </row>
    <row r="56" spans="1:5" ht="15.75">
      <c r="A56" s="67" t="str">
        <f>IF(A55=" "," ",IF(A55="Totals"," ",IF(A55='Increasing Tax'!$D$8,"Totals",IF(A55&lt;'Increasing Tax'!$D$8,A55+1," "))))</f>
        <v xml:space="preserve"> </v>
      </c>
      <c r="B56" s="27" t="str">
        <f t="shared" si="1"/>
        <v xml:space="preserve"> </v>
      </c>
      <c r="C56" s="91" t="str">
        <f>IF(A56="Totals",SUM(C14:$C$55),IF(A55="Totals"," ",IF(A55=" "," ",+B56*($D$5/100))))</f>
        <v xml:space="preserve"> </v>
      </c>
      <c r="D56" s="92" t="str">
        <f>IF(A56="Totals",SUM(D14:$D$55),IF(A55="Totals"," ",IF(A55=" "," ",C56*($B$11/100))))</f>
        <v xml:space="preserve"> </v>
      </c>
      <c r="E56" s="92" t="str">
        <f>IF(A56=" "," ",IF(A56="Totals",SUM(E$14:$E55),FV($D$11/100,$D$8-A56,0,-D56)))</f>
        <v xml:space="preserve"> </v>
      </c>
    </row>
    <row r="57" spans="1:5" ht="15.75">
      <c r="A57" s="67" t="str">
        <f>IF(A56=" "," ",IF(A56="Totals"," ",IF(A56='Increasing Tax'!$D$8,"Totals",IF(A56&lt;'Increasing Tax'!$D$8,A56+1," "))))</f>
        <v xml:space="preserve"> </v>
      </c>
      <c r="B57" s="27" t="str">
        <f t="shared" si="1"/>
        <v xml:space="preserve"> </v>
      </c>
      <c r="C57" s="91" t="str">
        <f>IF(A57="Totals",SUM(C14:$C$56),IF(A56="Totals"," ",IF(A56=" "," ",+B57*($D$5/100))))</f>
        <v xml:space="preserve"> </v>
      </c>
      <c r="D57" s="92" t="str">
        <f>IF(A57="Totals",SUM(D14:$D$56),IF(A56="Totals"," ",IF(A56=" "," ",C57*($B$11/100))))</f>
        <v xml:space="preserve"> </v>
      </c>
      <c r="E57" s="92" t="str">
        <f>IF(A57=" "," ",IF(A57="Totals",SUM(E$14:$E56),FV($D$11/100,$D$8-A57,0,-D57)))</f>
        <v xml:space="preserve"> </v>
      </c>
    </row>
    <row r="58" spans="1:5" ht="15.75">
      <c r="A58" s="67" t="str">
        <f>IF(A57=" "," ",IF(A57="Totals"," ",IF(A57='Increasing Tax'!$D$8,"Totals",IF(A57&lt;'Increasing Tax'!$D$8,A57+1," "))))</f>
        <v xml:space="preserve"> </v>
      </c>
      <c r="B58" s="27" t="str">
        <f t="shared" si="1"/>
        <v xml:space="preserve"> </v>
      </c>
      <c r="C58" s="91" t="str">
        <f>IF(A58="Totals",SUM(C14:$C$57),IF(A57="Totals"," ",IF(A57=" "," ",+B58*($D$5/100))))</f>
        <v xml:space="preserve"> </v>
      </c>
      <c r="D58" s="92" t="str">
        <f>IF(A58="Totals",SUM(D14:$D$57),IF(A57="Totals"," ",IF(A57=" "," ",C58*($B$11/100))))</f>
        <v xml:space="preserve"> </v>
      </c>
      <c r="E58" s="92" t="str">
        <f>IF(A58=" "," ",IF(A58="Totals",SUM(E$14:$E57),FV($D$11/100,$D$8-A58,0,-D58)))</f>
        <v xml:space="preserve"> </v>
      </c>
    </row>
    <row r="59" spans="1:5" ht="15.75">
      <c r="A59" s="67" t="str">
        <f>IF(A58=" "," ",IF(A58="Totals"," ",IF(A58='Increasing Tax'!$D$8,"Totals",IF(A58&lt;'Increasing Tax'!$D$8,A58+1," "))))</f>
        <v xml:space="preserve"> </v>
      </c>
      <c r="B59" s="27" t="str">
        <f t="shared" si="1"/>
        <v xml:space="preserve"> </v>
      </c>
      <c r="C59" s="91" t="str">
        <f>IF(A59="Totals",SUM(C14:$C$58),IF(A58="Totals"," ",IF(A58=" "," ",+B59*($D$5/100))))</f>
        <v xml:space="preserve"> </v>
      </c>
      <c r="D59" s="92" t="str">
        <f>IF(A59="Totals",SUM(D14:$D$58),IF(A58="Totals"," ",IF(A58=" "," ",C59*($B$11/100))))</f>
        <v xml:space="preserve"> </v>
      </c>
      <c r="E59" s="92" t="str">
        <f>IF(A59=" "," ",IF(A59="Totals",SUM(E$14:$E58),FV($D$11/100,$D$8-A59,0,-D59)))</f>
        <v xml:space="preserve"> </v>
      </c>
    </row>
    <row r="60" spans="1:5" ht="15.75">
      <c r="A60" s="67" t="str">
        <f>IF(A59=" "," ",IF(A59="Totals"," ",IF(A59='Increasing Tax'!$D$8,"Totals",IF(A59&lt;'Increasing Tax'!$D$8,A59+1," "))))</f>
        <v xml:space="preserve"> </v>
      </c>
      <c r="B60" s="27" t="str">
        <f t="shared" si="1"/>
        <v xml:space="preserve"> </v>
      </c>
      <c r="C60" s="91" t="str">
        <f>IF(A60="Totals",SUM(C14:$C$59),IF(A59="Totals"," ",IF(A59=" "," ",+B60*($D$5/100))))</f>
        <v xml:space="preserve"> </v>
      </c>
      <c r="D60" s="92" t="str">
        <f>IF(A60="Totals",SUM(D14:$D$59),IF(A59="Totals"," ",IF(A59=" "," ",C60*($B$11/100))))</f>
        <v xml:space="preserve"> </v>
      </c>
      <c r="E60" s="92" t="str">
        <f>IF(A60=" "," ",IF(A60="Totals",SUM(E$14:$E59),FV($D$11/100,$D$8-A60,0,-D60)))</f>
        <v xml:space="preserve"> </v>
      </c>
    </row>
    <row r="61" spans="1:5" ht="15.75">
      <c r="A61" s="67" t="str">
        <f>IF(A60=" "," ",IF(A60="Totals"," ",IF(A60='Increasing Tax'!$D$8,"Totals",IF(A60&lt;'Increasing Tax'!$D$8,A60+1," "))))</f>
        <v xml:space="preserve"> </v>
      </c>
      <c r="B61" s="27" t="str">
        <f t="shared" si="1"/>
        <v xml:space="preserve"> </v>
      </c>
      <c r="C61" s="91" t="str">
        <f>IF(A61="Totals",SUM(C14:$C$60),IF(A60="Totals"," ",IF(A60=" "," ",+B61*($D$5/100))))</f>
        <v xml:space="preserve"> </v>
      </c>
      <c r="D61" s="92" t="str">
        <f>IF(A61="Totals",SUM(D14:$D$60),IF(A60="Totals"," ",IF(A60=" "," ",C61*($B$11/100))))</f>
        <v xml:space="preserve"> </v>
      </c>
      <c r="E61" s="92" t="str">
        <f>IF(A61=" "," ",IF(A61="Totals",SUM(E$14:$E60),FV($D$11/100,$D$8-A61,0,-D61)))</f>
        <v xml:space="preserve"> </v>
      </c>
    </row>
    <row r="62" spans="1:5" ht="15.75">
      <c r="A62" s="67" t="str">
        <f>IF(A61=" "," ",IF(A61="Totals"," ",IF(A61='Increasing Tax'!$D$8,"Totals",IF(A61&lt;'Increasing Tax'!$D$8,A61+1," "))))</f>
        <v xml:space="preserve"> </v>
      </c>
      <c r="B62" s="27" t="str">
        <f t="shared" si="1"/>
        <v xml:space="preserve"> </v>
      </c>
      <c r="C62" s="91" t="str">
        <f>IF(A62="Totals",SUM(C14:$C$61),IF(A61="Totals"," ",IF(A61=" "," ",+B62*($D$5/100))))</f>
        <v xml:space="preserve"> </v>
      </c>
      <c r="D62" s="92" t="str">
        <f>IF(A62="Totals",SUM(D14:$D$61),IF(A61="Totals"," ",IF(A61=" "," ",C62*($B$11/100))))</f>
        <v xml:space="preserve"> </v>
      </c>
      <c r="E62" s="92" t="str">
        <f>IF(A62=" "," ",IF(A62="Totals",SUM(E$14:$E61),FV($D$11/100,$D$8-A62,0,-D62)))</f>
        <v xml:space="preserve"> </v>
      </c>
    </row>
    <row r="63" spans="1:5" ht="15.75">
      <c r="A63" s="67" t="str">
        <f>IF(A62=" "," ",IF(A62="Totals"," ",IF(A62='Increasing Tax'!$D$8,"Totals",IF(A62&lt;'Increasing Tax'!$D$8,A62+1," "))))</f>
        <v xml:space="preserve"> </v>
      </c>
      <c r="B63" s="27" t="str">
        <f t="shared" si="1"/>
        <v xml:space="preserve"> </v>
      </c>
      <c r="C63" s="91" t="str">
        <f>IF(A63="Totals",SUM(C14:$C$62),IF(A62="Totals"," ",IF(A62=" "," ",+B63*($D$5/100))))</f>
        <v xml:space="preserve"> </v>
      </c>
      <c r="D63" s="92" t="str">
        <f>IF(A63="Totals",SUM(D14:$D$62),IF(A62="Totals"," ",IF(A62=" "," ",C63*($B$11/100))))</f>
        <v xml:space="preserve"> </v>
      </c>
      <c r="E63" s="92" t="str">
        <f>IF(A63=" "," ",IF(A63="Totals",SUM(E$14:$E62),FV($D$11/100,$D$8-A63,0,-D63)))</f>
        <v xml:space="preserve"> </v>
      </c>
    </row>
    <row r="64" spans="1:5" ht="15.75">
      <c r="A64" s="67" t="str">
        <f>IF(A63=" "," ",IF(A63="Totals"," ",IF(A63='Increasing Tax'!$D$8,"Totals",IF(A63&lt;'Increasing Tax'!$D$8,A63+1," "))))</f>
        <v xml:space="preserve"> </v>
      </c>
      <c r="B64" s="27" t="str">
        <f t="shared" si="1"/>
        <v xml:space="preserve"> </v>
      </c>
      <c r="C64" s="91" t="str">
        <f>IF(A64="Totals",SUM(C14:$C$63),IF(A63="Totals"," ",IF(A63=" "," ",+B64*($D$5/100))))</f>
        <v xml:space="preserve"> </v>
      </c>
      <c r="D64" s="92" t="str">
        <f>IF(A64="Totals",SUM(D14:$D$63),IF(A63="Totals"," ",IF(A63=" "," ",C64*($B$11/100))))</f>
        <v xml:space="preserve"> </v>
      </c>
      <c r="E64" s="92" t="str">
        <f>IF(A64=" "," ",IF(A64="Totals",SUM(E$14:$E63),FV($D$11/100,$D$8-A64,0,-D64)))</f>
        <v xml:space="preserve"> </v>
      </c>
    </row>
    <row r="65" spans="4:5">
      <c r="D65" s="119"/>
      <c r="E65" s="119"/>
    </row>
    <row r="66" spans="4:5">
      <c r="D66" s="119"/>
      <c r="E66" s="120"/>
    </row>
    <row r="67" spans="4:5">
      <c r="D67" s="119"/>
      <c r="E67" s="119"/>
    </row>
    <row r="68" spans="4:5">
      <c r="D68" s="119"/>
      <c r="E68" s="119"/>
    </row>
    <row r="69" spans="4:5">
      <c r="D69" s="119"/>
      <c r="E69" s="119"/>
    </row>
    <row r="70" spans="4:5">
      <c r="D70" s="119"/>
      <c r="E70" s="119"/>
    </row>
    <row r="71" spans="4:5">
      <c r="D71" s="119"/>
      <c r="E71" s="119"/>
    </row>
    <row r="72" spans="4:5">
      <c r="D72" s="119"/>
      <c r="E72" s="119"/>
    </row>
    <row r="73" spans="4:5">
      <c r="D73" s="119"/>
      <c r="E73" s="119"/>
    </row>
    <row r="74" spans="4:5">
      <c r="D74" s="119"/>
      <c r="E74" s="119"/>
    </row>
    <row r="75" spans="4:5">
      <c r="D75" s="119"/>
      <c r="E75" s="119"/>
    </row>
    <row r="76" spans="4:5">
      <c r="D76" s="119"/>
      <c r="E76" s="119"/>
    </row>
    <row r="77" spans="4:5">
      <c r="D77" s="119"/>
      <c r="E77" s="119"/>
    </row>
    <row r="78" spans="4:5">
      <c r="D78" s="119"/>
      <c r="E78" s="119"/>
    </row>
    <row r="79" spans="4:5">
      <c r="D79" s="119"/>
      <c r="E79" s="119"/>
    </row>
    <row r="80" spans="4:5">
      <c r="D80" s="119"/>
      <c r="E80" s="119"/>
    </row>
    <row r="81" spans="4:5">
      <c r="D81" s="119"/>
      <c r="E81" s="119"/>
    </row>
    <row r="82" spans="4:5">
      <c r="D82" s="119"/>
      <c r="E82" s="119"/>
    </row>
  </sheetData>
  <phoneticPr fontId="0" type="noConversion"/>
  <printOptions horizontalCentered="1"/>
  <pageMargins left="0.5" right="0.5" top="0.5" bottom="0.5" header="0.5" footer="0.5"/>
  <pageSetup scale="81" orientation="portrait" r:id="rId1"/>
  <headerFooter alignWithMargins="0">
    <oddFooter>&amp;L&amp;8&amp;D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2:IU77"/>
  <sheetViews>
    <sheetView defaultGridColor="0" colorId="23" zoomScale="77" workbookViewId="0">
      <selection activeCell="D9" sqref="D9"/>
    </sheetView>
  </sheetViews>
  <sheetFormatPr defaultColWidth="9.77734375" defaultRowHeight="15"/>
  <cols>
    <col min="1" max="1" width="10.6640625" customWidth="1"/>
    <col min="2" max="2" width="8.88671875" style="16" customWidth="1"/>
    <col min="3" max="3" width="10.33203125" customWidth="1"/>
    <col min="4" max="4" width="8.77734375" style="16" customWidth="1"/>
    <col min="5" max="5" width="11.109375" style="16" customWidth="1"/>
    <col min="6" max="6" width="10.77734375" customWidth="1"/>
  </cols>
  <sheetData>
    <row r="2" spans="1:255" ht="37.5">
      <c r="A2" s="127" t="s">
        <v>15</v>
      </c>
      <c r="B2" s="128"/>
      <c r="C2" s="127"/>
      <c r="D2" s="128"/>
      <c r="E2" s="128"/>
      <c r="F2" s="127"/>
      <c r="G2" s="127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</row>
    <row r="3" spans="1:255" ht="37.5">
      <c r="A3" s="127" t="s">
        <v>16</v>
      </c>
      <c r="B3" s="128"/>
      <c r="C3" s="127"/>
      <c r="D3" s="128"/>
      <c r="E3" s="128"/>
      <c r="F3" s="127"/>
      <c r="G3" s="12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</row>
    <row r="7" spans="1:255" ht="18.75">
      <c r="B7" s="55"/>
      <c r="C7" s="70" t="s">
        <v>17</v>
      </c>
      <c r="D7" s="70" t="s">
        <v>18</v>
      </c>
      <c r="E7" s="70" t="s">
        <v>19</v>
      </c>
      <c r="F7" s="70" t="s">
        <v>12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</row>
    <row r="8" spans="1:255" ht="18.75">
      <c r="B8" s="66" t="s">
        <v>20</v>
      </c>
      <c r="C8" s="71" t="s">
        <v>11</v>
      </c>
      <c r="D8" s="71" t="s">
        <v>11</v>
      </c>
      <c r="E8" s="71" t="s">
        <v>21</v>
      </c>
      <c r="F8" s="71" t="s">
        <v>21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</row>
    <row r="9" spans="1:255" ht="15.75">
      <c r="B9" s="67">
        <f>'Increasing Tax'!A14</f>
        <v>1</v>
      </c>
      <c r="C9" s="92" t="str">
        <f>'Increasing Tax'!D14</f>
        <v xml:space="preserve"> </v>
      </c>
      <c r="D9" s="92">
        <f>'Flat Tax'!D14</f>
        <v>3000</v>
      </c>
      <c r="E9" s="91">
        <f t="shared" ref="E9:E40" si="0">IF(D9=" "," ",+C9-D9)</f>
        <v>-3000</v>
      </c>
      <c r="F9" s="91">
        <f>IF(D9=" "," ",+'Increasing Tax'!E14-'Flat Tax'!E14)</f>
        <v>-3000</v>
      </c>
    </row>
    <row r="10" spans="1:255" ht="15.75">
      <c r="B10" s="67">
        <f>'Increasing Tax'!A15</f>
        <v>2</v>
      </c>
      <c r="C10" s="92">
        <f>'Increasing Tax'!D15</f>
        <v>0</v>
      </c>
      <c r="D10" s="92">
        <f>'Flat Tax'!D15</f>
        <v>3000</v>
      </c>
      <c r="E10" s="91">
        <f t="shared" si="0"/>
        <v>-3000</v>
      </c>
      <c r="F10" s="91">
        <f>IF(D10=" "," ",+'Increasing Tax'!E15-'Flat Tax'!E15)</f>
        <v>-3000</v>
      </c>
    </row>
    <row r="11" spans="1:255" ht="15.75">
      <c r="B11" s="67">
        <f>'Increasing Tax'!A16</f>
        <v>3</v>
      </c>
      <c r="C11" s="92">
        <f>'Increasing Tax'!D16</f>
        <v>0</v>
      </c>
      <c r="D11" s="92">
        <f>'Flat Tax'!D16</f>
        <v>3000</v>
      </c>
      <c r="E11" s="91">
        <f t="shared" si="0"/>
        <v>-3000</v>
      </c>
      <c r="F11" s="91">
        <f>IF(D11=" "," ",+'Increasing Tax'!E16-'Flat Tax'!E16)</f>
        <v>-3000</v>
      </c>
    </row>
    <row r="12" spans="1:255" ht="15.75">
      <c r="B12" s="67">
        <f>'Increasing Tax'!A17</f>
        <v>4</v>
      </c>
      <c r="C12" s="92">
        <f>'Increasing Tax'!D17</f>
        <v>0</v>
      </c>
      <c r="D12" s="92">
        <f>'Flat Tax'!D17</f>
        <v>3000</v>
      </c>
      <c r="E12" s="91">
        <f t="shared" si="0"/>
        <v>-3000</v>
      </c>
      <c r="F12" s="91">
        <f>IF(D12=" "," ",+'Increasing Tax'!E17-'Flat Tax'!E17)</f>
        <v>-3000</v>
      </c>
    </row>
    <row r="13" spans="1:255" ht="15.75">
      <c r="B13" s="67">
        <f>'Increasing Tax'!A18</f>
        <v>5</v>
      </c>
      <c r="C13" s="92">
        <f>'Increasing Tax'!D18</f>
        <v>0</v>
      </c>
      <c r="D13" s="92">
        <f>'Flat Tax'!D18</f>
        <v>3000</v>
      </c>
      <c r="E13" s="91">
        <f t="shared" si="0"/>
        <v>-3000</v>
      </c>
      <c r="F13" s="91">
        <f>IF(D13=" "," ",+'Increasing Tax'!E18-'Flat Tax'!E18)</f>
        <v>-3000</v>
      </c>
    </row>
    <row r="14" spans="1:255" ht="15.75">
      <c r="B14" s="67">
        <f>'Increasing Tax'!A19</f>
        <v>6</v>
      </c>
      <c r="C14" s="92">
        <f>'Increasing Tax'!D19</f>
        <v>0</v>
      </c>
      <c r="D14" s="92">
        <f>'Flat Tax'!D19</f>
        <v>3000</v>
      </c>
      <c r="E14" s="91">
        <f t="shared" si="0"/>
        <v>-3000</v>
      </c>
      <c r="F14" s="91">
        <f>IF(D14=" "," ",+'Increasing Tax'!E19-'Flat Tax'!E19)</f>
        <v>-3000</v>
      </c>
    </row>
    <row r="15" spans="1:255" ht="15.75">
      <c r="B15" s="67">
        <f>'Increasing Tax'!A20</f>
        <v>7</v>
      </c>
      <c r="C15" s="92">
        <f>'Increasing Tax'!D20</f>
        <v>0</v>
      </c>
      <c r="D15" s="92">
        <f>'Flat Tax'!D20</f>
        <v>3000</v>
      </c>
      <c r="E15" s="91">
        <f t="shared" si="0"/>
        <v>-3000</v>
      </c>
      <c r="F15" s="91">
        <f>IF(D15=" "," ",+'Increasing Tax'!E20-'Flat Tax'!E20)</f>
        <v>-3000</v>
      </c>
    </row>
    <row r="16" spans="1:255" ht="15.75">
      <c r="B16" s="67">
        <f>'Increasing Tax'!A21</f>
        <v>8</v>
      </c>
      <c r="C16" s="92">
        <f>'Increasing Tax'!D21</f>
        <v>0</v>
      </c>
      <c r="D16" s="92">
        <f>'Flat Tax'!D21</f>
        <v>3000</v>
      </c>
      <c r="E16" s="91">
        <f t="shared" si="0"/>
        <v>-3000</v>
      </c>
      <c r="F16" s="91">
        <f>IF(D16=" "," ",+'Increasing Tax'!E21-'Flat Tax'!E21)</f>
        <v>-3000</v>
      </c>
    </row>
    <row r="17" spans="2:6" ht="15.75">
      <c r="B17" s="67">
        <f>'Increasing Tax'!A22</f>
        <v>9</v>
      </c>
      <c r="C17" s="92">
        <f>'Increasing Tax'!D22</f>
        <v>0</v>
      </c>
      <c r="D17" s="92">
        <f>'Flat Tax'!D22</f>
        <v>3000</v>
      </c>
      <c r="E17" s="91">
        <f t="shared" si="0"/>
        <v>-3000</v>
      </c>
      <c r="F17" s="91">
        <f>IF(D17=" "," ",+'Increasing Tax'!E22-'Flat Tax'!E22)</f>
        <v>-3000</v>
      </c>
    </row>
    <row r="18" spans="2:6" ht="15.75">
      <c r="B18" s="67">
        <f>'Increasing Tax'!A23</f>
        <v>10</v>
      </c>
      <c r="C18" s="92">
        <f>'Increasing Tax'!D23</f>
        <v>0</v>
      </c>
      <c r="D18" s="92">
        <f>'Flat Tax'!D23</f>
        <v>3000</v>
      </c>
      <c r="E18" s="91">
        <f t="shared" si="0"/>
        <v>-3000</v>
      </c>
      <c r="F18" s="91">
        <f>IF(D18=" "," ",+'Increasing Tax'!E23-'Flat Tax'!E23)</f>
        <v>-3000</v>
      </c>
    </row>
    <row r="19" spans="2:6" ht="15.75">
      <c r="B19" s="67">
        <f>'Increasing Tax'!A24</f>
        <v>11</v>
      </c>
      <c r="C19" s="92">
        <f>'Increasing Tax'!D24</f>
        <v>0</v>
      </c>
      <c r="D19" s="92">
        <f>'Flat Tax'!D24</f>
        <v>3000</v>
      </c>
      <c r="E19" s="91">
        <f t="shared" si="0"/>
        <v>-3000</v>
      </c>
      <c r="F19" s="91">
        <f>IF(D19=" "," ",+'Increasing Tax'!E24-'Flat Tax'!E24)</f>
        <v>-3000</v>
      </c>
    </row>
    <row r="20" spans="2:6" ht="15.75">
      <c r="B20" s="67">
        <f>'Increasing Tax'!A25</f>
        <v>12</v>
      </c>
      <c r="C20" s="92">
        <f>'Increasing Tax'!D25</f>
        <v>0</v>
      </c>
      <c r="D20" s="92">
        <f>'Flat Tax'!D25</f>
        <v>3000</v>
      </c>
      <c r="E20" s="91">
        <f t="shared" si="0"/>
        <v>-3000</v>
      </c>
      <c r="F20" s="91">
        <f>IF(D20=" "," ",+'Increasing Tax'!E25-'Flat Tax'!E25)</f>
        <v>-3000</v>
      </c>
    </row>
    <row r="21" spans="2:6" ht="15.75">
      <c r="B21" s="67">
        <f>'Increasing Tax'!A26</f>
        <v>13</v>
      </c>
      <c r="C21" s="92">
        <f>'Increasing Tax'!D26</f>
        <v>0</v>
      </c>
      <c r="D21" s="92">
        <f>'Flat Tax'!D26</f>
        <v>3000</v>
      </c>
      <c r="E21" s="91">
        <f t="shared" si="0"/>
        <v>-3000</v>
      </c>
      <c r="F21" s="91">
        <f>IF(D21=" "," ",+'Increasing Tax'!E26-'Flat Tax'!E26)</f>
        <v>-3000</v>
      </c>
    </row>
    <row r="22" spans="2:6" ht="15.75">
      <c r="B22" s="67">
        <f>'Increasing Tax'!A27</f>
        <v>14</v>
      </c>
      <c r="C22" s="92">
        <f>'Increasing Tax'!D27</f>
        <v>0</v>
      </c>
      <c r="D22" s="92">
        <f>'Flat Tax'!D27</f>
        <v>3000</v>
      </c>
      <c r="E22" s="91">
        <f t="shared" si="0"/>
        <v>-3000</v>
      </c>
      <c r="F22" s="91">
        <f>IF(D22=" "," ",+'Increasing Tax'!E27-'Flat Tax'!E27)</f>
        <v>-3000</v>
      </c>
    </row>
    <row r="23" spans="2:6" ht="15.75">
      <c r="B23" s="67">
        <f>'Increasing Tax'!A28</f>
        <v>15</v>
      </c>
      <c r="C23" s="92">
        <f>'Increasing Tax'!D28</f>
        <v>0</v>
      </c>
      <c r="D23" s="92">
        <f>'Flat Tax'!D28</f>
        <v>3000</v>
      </c>
      <c r="E23" s="91">
        <f t="shared" si="0"/>
        <v>-3000</v>
      </c>
      <c r="F23" s="91">
        <f>IF(D23=" "," ",+'Increasing Tax'!E28-'Flat Tax'!E28)</f>
        <v>-3000</v>
      </c>
    </row>
    <row r="24" spans="2:6" ht="15.75">
      <c r="B24" s="67">
        <f>'Increasing Tax'!A29</f>
        <v>16</v>
      </c>
      <c r="C24" s="92">
        <f>'Increasing Tax'!D29</f>
        <v>0</v>
      </c>
      <c r="D24" s="92">
        <f>'Flat Tax'!D29</f>
        <v>3000</v>
      </c>
      <c r="E24" s="91">
        <f t="shared" si="0"/>
        <v>-3000</v>
      </c>
      <c r="F24" s="91">
        <f>IF(D24=" "," ",+'Increasing Tax'!E29-'Flat Tax'!E29)</f>
        <v>-3000</v>
      </c>
    </row>
    <row r="25" spans="2:6" ht="15.75">
      <c r="B25" s="67">
        <f>'Increasing Tax'!A30</f>
        <v>17</v>
      </c>
      <c r="C25" s="92">
        <f>'Increasing Tax'!D30</f>
        <v>0</v>
      </c>
      <c r="D25" s="92">
        <f>'Flat Tax'!D30</f>
        <v>3000</v>
      </c>
      <c r="E25" s="91">
        <f t="shared" si="0"/>
        <v>-3000</v>
      </c>
      <c r="F25" s="91">
        <f>IF(D25=" "," ",+'Increasing Tax'!E30-'Flat Tax'!E30)</f>
        <v>-3000</v>
      </c>
    </row>
    <row r="26" spans="2:6" ht="15.75">
      <c r="B26" s="67">
        <f>'Increasing Tax'!A31</f>
        <v>18</v>
      </c>
      <c r="C26" s="92">
        <f>'Increasing Tax'!D31</f>
        <v>0</v>
      </c>
      <c r="D26" s="92">
        <f>'Flat Tax'!D31</f>
        <v>3000</v>
      </c>
      <c r="E26" s="91">
        <f t="shared" si="0"/>
        <v>-3000</v>
      </c>
      <c r="F26" s="91">
        <f>IF(D26=" "," ",+'Increasing Tax'!E31-'Flat Tax'!E31)</f>
        <v>-3000</v>
      </c>
    </row>
    <row r="27" spans="2:6" ht="15.75">
      <c r="B27" s="67">
        <f>'Increasing Tax'!A32</f>
        <v>19</v>
      </c>
      <c r="C27" s="92">
        <f>'Increasing Tax'!D32</f>
        <v>0</v>
      </c>
      <c r="D27" s="92">
        <f>'Flat Tax'!D32</f>
        <v>3000</v>
      </c>
      <c r="E27" s="91">
        <f t="shared" si="0"/>
        <v>-3000</v>
      </c>
      <c r="F27" s="91">
        <f>IF(D27=" "," ",+'Increasing Tax'!E32-'Flat Tax'!E32)</f>
        <v>-3000</v>
      </c>
    </row>
    <row r="28" spans="2:6" ht="15.75">
      <c r="B28" s="67">
        <f>'Increasing Tax'!A33</f>
        <v>20</v>
      </c>
      <c r="C28" s="92">
        <f>'Increasing Tax'!D33</f>
        <v>0</v>
      </c>
      <c r="D28" s="92">
        <f>'Flat Tax'!D33</f>
        <v>3000</v>
      </c>
      <c r="E28" s="91">
        <f t="shared" si="0"/>
        <v>-3000</v>
      </c>
      <c r="F28" s="91">
        <f>IF(D28=" "," ",+'Increasing Tax'!E33-'Flat Tax'!E33)</f>
        <v>-3000</v>
      </c>
    </row>
    <row r="29" spans="2:6" ht="15.75">
      <c r="B29" s="67" t="str">
        <f>'Increasing Tax'!A34</f>
        <v>Totals</v>
      </c>
      <c r="C29" s="92">
        <f>'Increasing Tax'!D34</f>
        <v>0</v>
      </c>
      <c r="D29" s="92">
        <f>'Flat Tax'!D34</f>
        <v>60000</v>
      </c>
      <c r="E29" s="91">
        <f t="shared" si="0"/>
        <v>-60000</v>
      </c>
      <c r="F29" s="91">
        <f>IF(D29=" "," ",+'Increasing Tax'!E34-'Flat Tax'!E34)</f>
        <v>-60000</v>
      </c>
    </row>
    <row r="30" spans="2:6" ht="15.75">
      <c r="B30" s="67" t="str">
        <f>'Increasing Tax'!A35</f>
        <v xml:space="preserve"> </v>
      </c>
      <c r="C30" s="92" t="str">
        <f>'Increasing Tax'!D35</f>
        <v xml:space="preserve"> </v>
      </c>
      <c r="D30" s="92" t="str">
        <f>'Flat Tax'!D35</f>
        <v xml:space="preserve"> </v>
      </c>
      <c r="E30" s="91" t="str">
        <f t="shared" si="0"/>
        <v xml:space="preserve"> </v>
      </c>
      <c r="F30" s="91" t="str">
        <f>IF(D30=" "," ",+'Increasing Tax'!E35-'Flat Tax'!E35)</f>
        <v xml:space="preserve"> </v>
      </c>
    </row>
    <row r="31" spans="2:6" ht="15.75">
      <c r="B31" s="67" t="str">
        <f>'Increasing Tax'!A36</f>
        <v xml:space="preserve"> </v>
      </c>
      <c r="C31" s="92" t="str">
        <f>'Increasing Tax'!D36</f>
        <v xml:space="preserve"> </v>
      </c>
      <c r="D31" s="92" t="str">
        <f>'Flat Tax'!D36</f>
        <v xml:space="preserve"> </v>
      </c>
      <c r="E31" s="91" t="str">
        <f t="shared" si="0"/>
        <v xml:space="preserve"> </v>
      </c>
      <c r="F31" s="91" t="str">
        <f>IF(D31=" "," ",+'Increasing Tax'!E36-'Flat Tax'!E36)</f>
        <v xml:space="preserve"> </v>
      </c>
    </row>
    <row r="32" spans="2:6" ht="15.75">
      <c r="B32" s="67" t="str">
        <f>'Increasing Tax'!A37</f>
        <v xml:space="preserve"> </v>
      </c>
      <c r="C32" s="92" t="str">
        <f>'Increasing Tax'!D37</f>
        <v xml:space="preserve"> </v>
      </c>
      <c r="D32" s="92" t="str">
        <f>'Flat Tax'!D37</f>
        <v xml:space="preserve"> </v>
      </c>
      <c r="E32" s="91" t="str">
        <f t="shared" si="0"/>
        <v xml:space="preserve"> </v>
      </c>
      <c r="F32" s="91" t="str">
        <f>IF(D32=" "," ",+'Increasing Tax'!E37-'Flat Tax'!E37)</f>
        <v xml:space="preserve"> </v>
      </c>
    </row>
    <row r="33" spans="2:6" ht="15.75">
      <c r="B33" s="67" t="str">
        <f>'Increasing Tax'!A38</f>
        <v xml:space="preserve"> </v>
      </c>
      <c r="C33" s="92" t="str">
        <f>'Increasing Tax'!D38</f>
        <v xml:space="preserve"> </v>
      </c>
      <c r="D33" s="92" t="str">
        <f>'Flat Tax'!D38</f>
        <v xml:space="preserve"> </v>
      </c>
      <c r="E33" s="91" t="str">
        <f t="shared" si="0"/>
        <v xml:space="preserve"> </v>
      </c>
      <c r="F33" s="91" t="str">
        <f>IF(D33=" "," ",+'Increasing Tax'!E38-'Flat Tax'!E38)</f>
        <v xml:space="preserve"> </v>
      </c>
    </row>
    <row r="34" spans="2:6" ht="15.75">
      <c r="B34" s="67" t="str">
        <f>'Increasing Tax'!A39</f>
        <v xml:space="preserve"> </v>
      </c>
      <c r="C34" s="92" t="str">
        <f>'Increasing Tax'!D39</f>
        <v xml:space="preserve"> </v>
      </c>
      <c r="D34" s="92" t="str">
        <f>'Flat Tax'!D39</f>
        <v xml:space="preserve"> </v>
      </c>
      <c r="E34" s="91" t="str">
        <f t="shared" si="0"/>
        <v xml:space="preserve"> </v>
      </c>
      <c r="F34" s="91" t="str">
        <f>IF(D34=" "," ",+'Increasing Tax'!E39-'Flat Tax'!E39)</f>
        <v xml:space="preserve"> </v>
      </c>
    </row>
    <row r="35" spans="2:6" ht="15.75">
      <c r="B35" s="67" t="str">
        <f>'Increasing Tax'!A40</f>
        <v xml:space="preserve"> </v>
      </c>
      <c r="C35" s="92" t="str">
        <f>'Increasing Tax'!D40</f>
        <v xml:space="preserve"> </v>
      </c>
      <c r="D35" s="92" t="str">
        <f>'Flat Tax'!D40</f>
        <v xml:space="preserve"> </v>
      </c>
      <c r="E35" s="91" t="str">
        <f t="shared" si="0"/>
        <v xml:space="preserve"> </v>
      </c>
      <c r="F35" s="91" t="str">
        <f>IF(D35=" "," ",+'Increasing Tax'!E40-'Flat Tax'!E40)</f>
        <v xml:space="preserve"> </v>
      </c>
    </row>
    <row r="36" spans="2:6" ht="15.75">
      <c r="B36" s="67" t="str">
        <f>'Increasing Tax'!A41</f>
        <v xml:space="preserve"> </v>
      </c>
      <c r="C36" s="92" t="str">
        <f>'Increasing Tax'!D41</f>
        <v xml:space="preserve"> </v>
      </c>
      <c r="D36" s="92" t="str">
        <f>'Flat Tax'!D41</f>
        <v xml:space="preserve"> </v>
      </c>
      <c r="E36" s="91" t="str">
        <f t="shared" si="0"/>
        <v xml:space="preserve"> </v>
      </c>
      <c r="F36" s="91" t="str">
        <f>IF(D36=" "," ",+'Increasing Tax'!E41-'Flat Tax'!E41)</f>
        <v xml:space="preserve"> </v>
      </c>
    </row>
    <row r="37" spans="2:6" ht="15.75">
      <c r="B37" s="67" t="str">
        <f>'Increasing Tax'!A42</f>
        <v xml:space="preserve"> </v>
      </c>
      <c r="C37" s="92" t="str">
        <f>'Increasing Tax'!D42</f>
        <v xml:space="preserve"> </v>
      </c>
      <c r="D37" s="92" t="str">
        <f>'Flat Tax'!D42</f>
        <v xml:space="preserve"> </v>
      </c>
      <c r="E37" s="91" t="str">
        <f t="shared" si="0"/>
        <v xml:space="preserve"> </v>
      </c>
      <c r="F37" s="91" t="str">
        <f>IF(D37=" "," ",+'Increasing Tax'!E42-'Flat Tax'!E42)</f>
        <v xml:space="preserve"> </v>
      </c>
    </row>
    <row r="38" spans="2:6" ht="15.75">
      <c r="B38" s="67" t="str">
        <f>'Increasing Tax'!A43</f>
        <v xml:space="preserve"> </v>
      </c>
      <c r="C38" s="92" t="str">
        <f>'Increasing Tax'!D43</f>
        <v xml:space="preserve"> </v>
      </c>
      <c r="D38" s="92" t="str">
        <f>'Flat Tax'!D43</f>
        <v xml:space="preserve"> </v>
      </c>
      <c r="E38" s="91" t="str">
        <f t="shared" si="0"/>
        <v xml:space="preserve"> </v>
      </c>
      <c r="F38" s="91" t="str">
        <f>IF(D38=" "," ",+'Increasing Tax'!E43-'Flat Tax'!E43)</f>
        <v xml:space="preserve"> </v>
      </c>
    </row>
    <row r="39" spans="2:6" ht="15.75">
      <c r="B39" s="67" t="str">
        <f>'Increasing Tax'!A44</f>
        <v xml:space="preserve"> </v>
      </c>
      <c r="C39" s="92" t="str">
        <f>'Increasing Tax'!D44</f>
        <v xml:space="preserve"> </v>
      </c>
      <c r="D39" s="92" t="str">
        <f>'Flat Tax'!D44</f>
        <v xml:space="preserve"> </v>
      </c>
      <c r="E39" s="91" t="str">
        <f t="shared" si="0"/>
        <v xml:space="preserve"> </v>
      </c>
      <c r="F39" s="91" t="str">
        <f>IF(D39=" "," ",+'Increasing Tax'!E44-'Flat Tax'!E44)</f>
        <v xml:space="preserve"> </v>
      </c>
    </row>
    <row r="40" spans="2:6" ht="15.75">
      <c r="B40" s="67" t="str">
        <f>'Increasing Tax'!A45</f>
        <v xml:space="preserve"> </v>
      </c>
      <c r="C40" s="92" t="str">
        <f>'Increasing Tax'!D45</f>
        <v xml:space="preserve"> </v>
      </c>
      <c r="D40" s="92" t="str">
        <f>'Flat Tax'!D45</f>
        <v xml:space="preserve"> </v>
      </c>
      <c r="E40" s="91" t="str">
        <f t="shared" si="0"/>
        <v xml:space="preserve"> </v>
      </c>
      <c r="F40" s="91" t="str">
        <f>IF(D40=" "," ",+'Increasing Tax'!E45-'Flat Tax'!E45)</f>
        <v xml:space="preserve"> </v>
      </c>
    </row>
    <row r="41" spans="2:6" ht="15.75">
      <c r="B41" s="67" t="str">
        <f>'Increasing Tax'!A46</f>
        <v xml:space="preserve"> </v>
      </c>
      <c r="C41" s="92" t="str">
        <f>'Increasing Tax'!D46</f>
        <v xml:space="preserve"> </v>
      </c>
      <c r="D41" s="92" t="str">
        <f>'Flat Tax'!D46</f>
        <v xml:space="preserve"> </v>
      </c>
      <c r="E41" s="91" t="str">
        <f t="shared" ref="E41:E59" si="1">IF(D41=" "," ",+C41-D41)</f>
        <v xml:space="preserve"> </v>
      </c>
      <c r="F41" s="91" t="str">
        <f>IF(D41=" "," ",+'Increasing Tax'!E46-'Flat Tax'!E46)</f>
        <v xml:space="preserve"> </v>
      </c>
    </row>
    <row r="42" spans="2:6" ht="15.75">
      <c r="B42" s="67" t="str">
        <f>'Increasing Tax'!A47</f>
        <v xml:space="preserve"> </v>
      </c>
      <c r="C42" s="92" t="str">
        <f>'Increasing Tax'!D47</f>
        <v xml:space="preserve"> </v>
      </c>
      <c r="D42" s="92" t="str">
        <f>'Flat Tax'!D47</f>
        <v xml:space="preserve"> </v>
      </c>
      <c r="E42" s="91" t="str">
        <f t="shared" si="1"/>
        <v xml:space="preserve"> </v>
      </c>
      <c r="F42" s="91" t="str">
        <f>IF(D42=" "," ",+'Increasing Tax'!E47-'Flat Tax'!E47)</f>
        <v xml:space="preserve"> </v>
      </c>
    </row>
    <row r="43" spans="2:6" ht="15.75">
      <c r="B43" s="67" t="str">
        <f>'Increasing Tax'!A48</f>
        <v xml:space="preserve"> </v>
      </c>
      <c r="C43" s="92" t="str">
        <f>'Increasing Tax'!D48</f>
        <v xml:space="preserve"> </v>
      </c>
      <c r="D43" s="92" t="str">
        <f>'Flat Tax'!D48</f>
        <v xml:space="preserve"> </v>
      </c>
      <c r="E43" s="91" t="str">
        <f t="shared" si="1"/>
        <v xml:space="preserve"> </v>
      </c>
      <c r="F43" s="91" t="str">
        <f>IF(D43=" "," ",+'Increasing Tax'!E48-'Flat Tax'!E48)</f>
        <v xml:space="preserve"> </v>
      </c>
    </row>
    <row r="44" spans="2:6" ht="15.75">
      <c r="B44" s="67" t="str">
        <f>'Increasing Tax'!A49</f>
        <v xml:space="preserve"> </v>
      </c>
      <c r="C44" s="92" t="str">
        <f>'Increasing Tax'!D49</f>
        <v xml:space="preserve"> </v>
      </c>
      <c r="D44" s="92" t="str">
        <f>'Flat Tax'!D49</f>
        <v xml:space="preserve"> </v>
      </c>
      <c r="E44" s="91" t="str">
        <f t="shared" si="1"/>
        <v xml:space="preserve"> </v>
      </c>
      <c r="F44" s="91" t="str">
        <f>IF(D44=" "," ",+'Increasing Tax'!E49-'Flat Tax'!E49)</f>
        <v xml:space="preserve"> </v>
      </c>
    </row>
    <row r="45" spans="2:6" ht="15.75">
      <c r="B45" s="67" t="str">
        <f>'Increasing Tax'!A50</f>
        <v xml:space="preserve"> </v>
      </c>
      <c r="C45" s="92" t="str">
        <f>'Increasing Tax'!D50</f>
        <v xml:space="preserve"> </v>
      </c>
      <c r="D45" s="92" t="str">
        <f>'Flat Tax'!D50</f>
        <v xml:space="preserve"> </v>
      </c>
      <c r="E45" s="91" t="str">
        <f t="shared" si="1"/>
        <v xml:space="preserve"> </v>
      </c>
      <c r="F45" s="91" t="str">
        <f>IF(D45=" "," ",+'Increasing Tax'!E50-'Flat Tax'!E50)</f>
        <v xml:space="preserve"> </v>
      </c>
    </row>
    <row r="46" spans="2:6" ht="15.75">
      <c r="B46" s="67" t="str">
        <f>'Increasing Tax'!A51</f>
        <v xml:space="preserve"> </v>
      </c>
      <c r="C46" s="92" t="str">
        <f>'Increasing Tax'!D51</f>
        <v xml:space="preserve"> </v>
      </c>
      <c r="D46" s="92" t="str">
        <f>'Flat Tax'!D51</f>
        <v xml:space="preserve"> </v>
      </c>
      <c r="E46" s="91" t="str">
        <f t="shared" si="1"/>
        <v xml:space="preserve"> </v>
      </c>
      <c r="F46" s="91" t="str">
        <f>IF(D46=" "," ",+'Increasing Tax'!E51-'Flat Tax'!E51)</f>
        <v xml:space="preserve"> </v>
      </c>
    </row>
    <row r="47" spans="2:6" ht="15.75">
      <c r="B47" s="67" t="str">
        <f>'Increasing Tax'!A52</f>
        <v xml:space="preserve"> </v>
      </c>
      <c r="C47" s="92" t="str">
        <f>'Increasing Tax'!D52</f>
        <v xml:space="preserve"> </v>
      </c>
      <c r="D47" s="92" t="str">
        <f>'Flat Tax'!D52</f>
        <v xml:space="preserve"> </v>
      </c>
      <c r="E47" s="91" t="str">
        <f t="shared" si="1"/>
        <v xml:space="preserve"> </v>
      </c>
      <c r="F47" s="91" t="str">
        <f>IF(D47=" "," ",+'Increasing Tax'!E52-'Flat Tax'!E52)</f>
        <v xml:space="preserve"> </v>
      </c>
    </row>
    <row r="48" spans="2:6" ht="15.75">
      <c r="B48" s="67" t="str">
        <f>'Increasing Tax'!A53</f>
        <v xml:space="preserve"> </v>
      </c>
      <c r="C48" s="92" t="str">
        <f>'Increasing Tax'!D53</f>
        <v xml:space="preserve"> </v>
      </c>
      <c r="D48" s="92" t="str">
        <f>'Flat Tax'!D53</f>
        <v xml:space="preserve"> </v>
      </c>
      <c r="E48" s="91" t="str">
        <f t="shared" si="1"/>
        <v xml:space="preserve"> </v>
      </c>
      <c r="F48" s="91" t="str">
        <f>IF(D48=" "," ",+'Increasing Tax'!E53-'Flat Tax'!E53)</f>
        <v xml:space="preserve"> </v>
      </c>
    </row>
    <row r="49" spans="2:6" ht="15.75">
      <c r="B49" s="67" t="str">
        <f>'Increasing Tax'!A54</f>
        <v xml:space="preserve"> </v>
      </c>
      <c r="C49" s="92" t="str">
        <f>'Increasing Tax'!D54</f>
        <v xml:space="preserve"> </v>
      </c>
      <c r="D49" s="92" t="str">
        <f>'Flat Tax'!D54</f>
        <v xml:space="preserve"> </v>
      </c>
      <c r="E49" s="91" t="str">
        <f t="shared" si="1"/>
        <v xml:space="preserve"> </v>
      </c>
      <c r="F49" s="91" t="str">
        <f>IF(D49=" "," ",+'Increasing Tax'!E54-'Flat Tax'!E54)</f>
        <v xml:space="preserve"> </v>
      </c>
    </row>
    <row r="50" spans="2:6" ht="15.75">
      <c r="B50" s="67" t="str">
        <f>'Increasing Tax'!A55</f>
        <v xml:space="preserve"> </v>
      </c>
      <c r="C50" s="92" t="str">
        <f>'Increasing Tax'!D55</f>
        <v xml:space="preserve"> </v>
      </c>
      <c r="D50" s="92" t="str">
        <f>'Flat Tax'!D55</f>
        <v xml:space="preserve"> </v>
      </c>
      <c r="E50" s="91" t="str">
        <f t="shared" si="1"/>
        <v xml:space="preserve"> </v>
      </c>
      <c r="F50" s="91" t="str">
        <f>IF(D50=" "," ",+'Increasing Tax'!E55-'Flat Tax'!E55)</f>
        <v xml:space="preserve"> </v>
      </c>
    </row>
    <row r="51" spans="2:6" ht="15.75">
      <c r="B51" s="67" t="str">
        <f>'Increasing Tax'!A56</f>
        <v xml:space="preserve"> </v>
      </c>
      <c r="C51" s="92" t="str">
        <f>'Increasing Tax'!D56</f>
        <v xml:space="preserve"> </v>
      </c>
      <c r="D51" s="92" t="str">
        <f>'Flat Tax'!D56</f>
        <v xml:space="preserve"> </v>
      </c>
      <c r="E51" s="91" t="str">
        <f t="shared" si="1"/>
        <v xml:space="preserve"> </v>
      </c>
      <c r="F51" s="91" t="str">
        <f>IF(D51=" "," ",+'Increasing Tax'!E56-'Flat Tax'!E56)</f>
        <v xml:space="preserve"> </v>
      </c>
    </row>
    <row r="52" spans="2:6" ht="15.75">
      <c r="B52" s="67" t="str">
        <f>'Increasing Tax'!A57</f>
        <v xml:space="preserve"> </v>
      </c>
      <c r="C52" s="92" t="str">
        <f>'Increasing Tax'!D57</f>
        <v xml:space="preserve"> </v>
      </c>
      <c r="D52" s="92" t="str">
        <f>'Flat Tax'!D57</f>
        <v xml:space="preserve"> </v>
      </c>
      <c r="E52" s="91" t="str">
        <f t="shared" si="1"/>
        <v xml:space="preserve"> </v>
      </c>
      <c r="F52" s="91" t="str">
        <f>IF(D52=" "," ",+'Increasing Tax'!E57-'Flat Tax'!E57)</f>
        <v xml:space="preserve"> </v>
      </c>
    </row>
    <row r="53" spans="2:6" ht="15.75">
      <c r="B53" s="67" t="str">
        <f>'Increasing Tax'!A58</f>
        <v xml:space="preserve"> </v>
      </c>
      <c r="C53" s="92" t="str">
        <f>'Increasing Tax'!D58</f>
        <v xml:space="preserve"> </v>
      </c>
      <c r="D53" s="92" t="str">
        <f>'Flat Tax'!D58</f>
        <v xml:space="preserve"> </v>
      </c>
      <c r="E53" s="91" t="str">
        <f t="shared" si="1"/>
        <v xml:space="preserve"> </v>
      </c>
      <c r="F53" s="91" t="str">
        <f>IF(D53=" "," ",+'Increasing Tax'!E58-'Flat Tax'!E58)</f>
        <v xml:space="preserve"> </v>
      </c>
    </row>
    <row r="54" spans="2:6" ht="15.75">
      <c r="B54" s="67" t="str">
        <f>'Increasing Tax'!A59</f>
        <v xml:space="preserve"> </v>
      </c>
      <c r="C54" s="92" t="str">
        <f>'Increasing Tax'!D59</f>
        <v xml:space="preserve"> </v>
      </c>
      <c r="D54" s="92" t="str">
        <f>'Flat Tax'!D59</f>
        <v xml:space="preserve"> </v>
      </c>
      <c r="E54" s="91" t="str">
        <f t="shared" si="1"/>
        <v xml:space="preserve"> </v>
      </c>
      <c r="F54" s="91" t="str">
        <f>IF(D54=" "," ",+'Increasing Tax'!E59-'Flat Tax'!E59)</f>
        <v xml:space="preserve"> </v>
      </c>
    </row>
    <row r="55" spans="2:6" ht="15.75">
      <c r="B55" s="67" t="str">
        <f>'Increasing Tax'!A60</f>
        <v xml:space="preserve"> </v>
      </c>
      <c r="C55" s="92" t="str">
        <f>'Increasing Tax'!D60</f>
        <v xml:space="preserve"> </v>
      </c>
      <c r="D55" s="92" t="str">
        <f>'Flat Tax'!D60</f>
        <v xml:space="preserve"> </v>
      </c>
      <c r="E55" s="91" t="str">
        <f t="shared" si="1"/>
        <v xml:space="preserve"> </v>
      </c>
      <c r="F55" s="91" t="str">
        <f>IF(D55=" "," ",+'Increasing Tax'!E60-'Flat Tax'!E60)</f>
        <v xml:space="preserve"> </v>
      </c>
    </row>
    <row r="56" spans="2:6" ht="15.75">
      <c r="B56" s="67" t="str">
        <f>'Increasing Tax'!A61</f>
        <v xml:space="preserve"> </v>
      </c>
      <c r="C56" s="92" t="str">
        <f>'Increasing Tax'!D61</f>
        <v xml:space="preserve"> </v>
      </c>
      <c r="D56" s="92" t="str">
        <f>'Flat Tax'!D61</f>
        <v xml:space="preserve"> </v>
      </c>
      <c r="E56" s="91" t="str">
        <f t="shared" si="1"/>
        <v xml:space="preserve"> </v>
      </c>
      <c r="F56" s="91" t="str">
        <f>IF(D56=" "," ",+'Increasing Tax'!E61-'Flat Tax'!E61)</f>
        <v xml:space="preserve"> </v>
      </c>
    </row>
    <row r="57" spans="2:6" ht="15.75">
      <c r="B57" s="67" t="str">
        <f>'Increasing Tax'!A62</f>
        <v xml:space="preserve"> </v>
      </c>
      <c r="C57" s="92" t="str">
        <f>'Increasing Tax'!D62</f>
        <v xml:space="preserve"> </v>
      </c>
      <c r="D57" s="92" t="str">
        <f>'Flat Tax'!D62</f>
        <v xml:space="preserve"> </v>
      </c>
      <c r="E57" s="91" t="str">
        <f t="shared" si="1"/>
        <v xml:space="preserve"> </v>
      </c>
      <c r="F57" s="91" t="str">
        <f>IF(D57=" "," ",+'Increasing Tax'!E62-'Flat Tax'!E62)</f>
        <v xml:space="preserve"> </v>
      </c>
    </row>
    <row r="58" spans="2:6" ht="15.75">
      <c r="B58" s="67" t="str">
        <f>'Increasing Tax'!A63</f>
        <v xml:space="preserve"> </v>
      </c>
      <c r="C58" s="92" t="str">
        <f>'Increasing Tax'!D63</f>
        <v xml:space="preserve"> </v>
      </c>
      <c r="D58" s="92" t="str">
        <f>'Flat Tax'!D63</f>
        <v xml:space="preserve"> </v>
      </c>
      <c r="E58" s="91" t="str">
        <f t="shared" si="1"/>
        <v xml:space="preserve"> </v>
      </c>
      <c r="F58" s="91" t="str">
        <f>IF(D58=" "," ",+'Increasing Tax'!E63-'Flat Tax'!E63)</f>
        <v xml:space="preserve"> </v>
      </c>
    </row>
    <row r="59" spans="2:6" ht="15.75">
      <c r="B59" s="67" t="str">
        <f>'Increasing Tax'!A64</f>
        <v xml:space="preserve"> </v>
      </c>
      <c r="C59" s="92" t="str">
        <f>'Increasing Tax'!D64</f>
        <v xml:space="preserve"> </v>
      </c>
      <c r="D59" s="92" t="str">
        <f>'Flat Tax'!D64</f>
        <v xml:space="preserve"> </v>
      </c>
      <c r="E59" s="91" t="str">
        <f t="shared" si="1"/>
        <v xml:space="preserve"> </v>
      </c>
      <c r="F59" s="91" t="str">
        <f>IF(D59=" "," ",+'Increasing Tax'!E64-'Flat Tax'!E64)</f>
        <v xml:space="preserve"> </v>
      </c>
    </row>
    <row r="60" spans="2:6">
      <c r="B60"/>
      <c r="C60" s="56"/>
      <c r="D60" s="56"/>
      <c r="E60" s="56"/>
      <c r="F60" s="56"/>
    </row>
    <row r="61" spans="2:6">
      <c r="C61" s="72"/>
      <c r="D61" s="56"/>
      <c r="E61" s="56"/>
      <c r="F61" s="72"/>
    </row>
    <row r="62" spans="2:6">
      <c r="C62" s="72"/>
      <c r="D62" s="56"/>
      <c r="E62" s="56"/>
      <c r="F62" s="72"/>
    </row>
    <row r="63" spans="2:6">
      <c r="C63" s="72"/>
      <c r="D63" s="56"/>
      <c r="E63" s="56"/>
      <c r="F63" s="72"/>
    </row>
    <row r="64" spans="2:6">
      <c r="C64" s="72"/>
      <c r="D64" s="56"/>
      <c r="E64" s="56"/>
      <c r="F64" s="72"/>
    </row>
    <row r="65" spans="3:6">
      <c r="C65" s="72"/>
      <c r="D65" s="56"/>
      <c r="E65" s="56"/>
      <c r="F65" s="72"/>
    </row>
    <row r="66" spans="3:6">
      <c r="C66" s="72"/>
      <c r="D66" s="56"/>
      <c r="E66" s="56"/>
      <c r="F66" s="72"/>
    </row>
    <row r="67" spans="3:6">
      <c r="C67" s="72"/>
      <c r="D67" s="56"/>
      <c r="E67" s="56"/>
      <c r="F67" s="72"/>
    </row>
    <row r="68" spans="3:6">
      <c r="C68" s="72"/>
      <c r="D68" s="56"/>
      <c r="E68" s="56"/>
      <c r="F68" s="72"/>
    </row>
    <row r="69" spans="3:6">
      <c r="C69" s="72"/>
      <c r="D69" s="56"/>
      <c r="E69" s="56"/>
      <c r="F69" s="72"/>
    </row>
    <row r="70" spans="3:6">
      <c r="C70" s="72"/>
      <c r="D70" s="56"/>
      <c r="E70" s="56"/>
      <c r="F70" s="72"/>
    </row>
    <row r="71" spans="3:6">
      <c r="C71" s="72"/>
      <c r="D71" s="56"/>
      <c r="E71" s="56"/>
      <c r="F71" s="72"/>
    </row>
    <row r="72" spans="3:6">
      <c r="C72" s="72"/>
      <c r="D72" s="56"/>
      <c r="E72" s="56"/>
      <c r="F72" s="72"/>
    </row>
    <row r="73" spans="3:6">
      <c r="C73" s="72"/>
      <c r="D73" s="56"/>
      <c r="E73" s="56"/>
      <c r="F73" s="72"/>
    </row>
    <row r="74" spans="3:6">
      <c r="C74" s="72"/>
      <c r="D74" s="56"/>
      <c r="E74" s="56"/>
      <c r="F74" s="72"/>
    </row>
    <row r="75" spans="3:6">
      <c r="C75" s="72"/>
      <c r="D75" s="56"/>
      <c r="E75" s="56"/>
      <c r="F75" s="72"/>
    </row>
    <row r="76" spans="3:6">
      <c r="C76" s="72"/>
      <c r="D76" s="56"/>
      <c r="E76" s="56"/>
      <c r="F76" s="72"/>
    </row>
    <row r="77" spans="3:6">
      <c r="C77" s="72"/>
      <c r="D77" s="56"/>
      <c r="E77" s="56"/>
      <c r="F77" s="72"/>
    </row>
  </sheetData>
  <phoneticPr fontId="0" type="noConversion"/>
  <printOptions horizontalCentered="1"/>
  <pageMargins left="0.5" right="0.5" top="0.5" bottom="0.5" header="0.5" footer="0.5"/>
  <pageSetup scale="74" orientation="portrait" r:id="rId1"/>
  <headerFooter alignWithMargins="0">
    <oddFooter>&amp;L&amp;8&amp;D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U61"/>
  <sheetViews>
    <sheetView defaultGridColor="0" topLeftCell="A7" colorId="23" zoomScale="77" workbookViewId="0">
      <selection activeCell="G9" sqref="G9"/>
    </sheetView>
  </sheetViews>
  <sheetFormatPr defaultColWidth="9.77734375" defaultRowHeight="15"/>
  <cols>
    <col min="1" max="1" width="13.21875" customWidth="1"/>
    <col min="3" max="4" width="11.77734375" customWidth="1"/>
    <col min="5" max="5" width="10.88671875" customWidth="1"/>
  </cols>
  <sheetData>
    <row r="1" spans="1:255" ht="40.5">
      <c r="A1" s="102"/>
      <c r="B1" s="102"/>
      <c r="C1" s="105" t="s">
        <v>0</v>
      </c>
      <c r="D1" s="102"/>
      <c r="E1" s="102"/>
      <c r="F1" s="102"/>
      <c r="G1" s="102"/>
    </row>
    <row r="2" spans="1:255" ht="40.5">
      <c r="A2" s="112"/>
      <c r="B2" s="112"/>
      <c r="C2" s="113"/>
      <c r="D2" s="102"/>
      <c r="E2" s="112"/>
      <c r="F2" s="112"/>
      <c r="G2" s="112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</row>
    <row r="3" spans="1:255" ht="23.25">
      <c r="A3" s="30"/>
      <c r="B3" s="3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pans="1:255">
      <c r="B4" s="32"/>
      <c r="C4" s="33" t="s">
        <v>22</v>
      </c>
      <c r="D4" s="32"/>
      <c r="E4" t="s">
        <v>77</v>
      </c>
    </row>
    <row r="5" spans="1:255">
      <c r="B5" s="34"/>
      <c r="C5" s="109">
        <v>7</v>
      </c>
      <c r="E5" s="96">
        <v>1160000</v>
      </c>
    </row>
    <row r="6" spans="1:255">
      <c r="B6" s="34"/>
      <c r="C6" s="34"/>
      <c r="D6" s="34"/>
    </row>
    <row r="7" spans="1:255">
      <c r="B7" s="34"/>
      <c r="C7" s="33" t="s">
        <v>23</v>
      </c>
      <c r="D7" s="34"/>
    </row>
    <row r="8" spans="1:255">
      <c r="B8" s="34"/>
      <c r="C8" s="111">
        <v>25</v>
      </c>
      <c r="D8" s="34"/>
    </row>
    <row r="9" spans="1:255">
      <c r="B9" s="34"/>
      <c r="D9" s="34"/>
    </row>
    <row r="10" spans="1:255" ht="18.75">
      <c r="A10" s="35"/>
      <c r="B10" s="36" t="s">
        <v>20</v>
      </c>
      <c r="C10" s="36" t="s">
        <v>24</v>
      </c>
      <c r="D10" s="36" t="s">
        <v>25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</row>
    <row r="11" spans="1:255" ht="15.75">
      <c r="B11" s="37">
        <f>IF($C$8=0," ",1)</f>
        <v>1</v>
      </c>
      <c r="C11" s="110">
        <v>2138</v>
      </c>
      <c r="D11" s="92">
        <f>IF(B11=" "," ",(IF(B11="TOTALS",SUM($D$11),FV($C$5/100,$C$8,0,-C11))))</f>
        <v>11603.850984582741</v>
      </c>
    </row>
    <row r="12" spans="1:255" ht="15.75">
      <c r="B12" s="37">
        <f t="shared" ref="B12:B43" si="0">IF(B11=" "," ",IF(B11="Totals"," ",IF(B11=$C$8,"Totals",IF(B11&lt;$C$8,B11+1," "))))</f>
        <v>2</v>
      </c>
      <c r="C12" s="110">
        <v>2370</v>
      </c>
      <c r="D12" s="92">
        <f>IF(B12=" "," ",(IF(B12="TOTALS",SUM($D$11:D11),FV($C$5/100,$C$8-B11,0,-C12))))</f>
        <v>12021.509679524534</v>
      </c>
    </row>
    <row r="13" spans="1:255" ht="15.75">
      <c r="B13" s="37">
        <f t="shared" si="0"/>
        <v>3</v>
      </c>
      <c r="C13" s="110">
        <v>2672</v>
      </c>
      <c r="D13" s="92">
        <f>IF(B13=" "," ",(IF(B13="TOTALS",SUM($D$11:D12),FV($C$5/100,$C$8-B12,0,-C13))))</f>
        <v>12666.695793875766</v>
      </c>
    </row>
    <row r="14" spans="1:255" ht="15.75">
      <c r="B14" s="37">
        <f t="shared" si="0"/>
        <v>4</v>
      </c>
      <c r="C14" s="110">
        <v>2973</v>
      </c>
      <c r="D14" s="92">
        <f>IF(B14=" "," ",(IF(B14="TOTALS",SUM($D$11:D13),FV($C$5/100,$C$8-B13,0,-C14))))</f>
        <v>13171.58437629157</v>
      </c>
    </row>
    <row r="15" spans="1:255" ht="15.75">
      <c r="B15" s="37">
        <f t="shared" si="0"/>
        <v>5</v>
      </c>
      <c r="C15" s="110">
        <v>3321</v>
      </c>
      <c r="D15" s="92">
        <f>IF(B15=" "," ",(IF(B15="TOTALS",SUM($D$11:D14),FV($C$5/100,$C$8-B14,0,-C15))))</f>
        <v>13750.807646910765</v>
      </c>
    </row>
    <row r="16" spans="1:255" ht="15.75">
      <c r="B16" s="37">
        <f t="shared" si="0"/>
        <v>6</v>
      </c>
      <c r="C16" s="110">
        <v>3716</v>
      </c>
      <c r="D16" s="92">
        <f>IF(B16=" "," ",(IF(B16="TOTALS",SUM($D$11:D15),FV($C$5/100,$C$8-B15,0,-C16))))</f>
        <v>14379.747462598643</v>
      </c>
    </row>
    <row r="17" spans="2:4" ht="15.75">
      <c r="B17" s="37">
        <f t="shared" si="0"/>
        <v>7</v>
      </c>
      <c r="C17" s="110">
        <v>4191</v>
      </c>
      <c r="D17" s="92">
        <f>IF(B17=" "," ",(IF(B17="TOTALS",SUM($D$11:D16),FV($C$5/100,$C$8-B16,0,-C17))))</f>
        <v>15156.866899326709</v>
      </c>
    </row>
    <row r="18" spans="2:4" ht="15.75">
      <c r="B18" s="37">
        <f t="shared" si="0"/>
        <v>8</v>
      </c>
      <c r="C18" s="110">
        <v>4678</v>
      </c>
      <c r="D18" s="92">
        <f>IF(B18=" "," ",(IF(B18="TOTALS",SUM($D$11:D17),FV($C$5/100,$C$8-B17,0,-C18))))</f>
        <v>15811.323185876799</v>
      </c>
    </row>
    <row r="19" spans="2:4" ht="15.75">
      <c r="B19" s="37">
        <f t="shared" si="0"/>
        <v>9</v>
      </c>
      <c r="C19" s="110">
        <v>5235</v>
      </c>
      <c r="D19" s="92">
        <f>IF(B19=" "," ",(IF(B19="TOTALS",SUM($D$11:D18),FV($C$5/100,$C$8-B18,0,-C19))))</f>
        <v>16536.397629401701</v>
      </c>
    </row>
    <row r="20" spans="2:4" ht="15.75">
      <c r="B20" s="37">
        <f t="shared" si="0"/>
        <v>10</v>
      </c>
      <c r="C20" s="110">
        <v>5931</v>
      </c>
      <c r="D20" s="92">
        <f>IF(B20=" "," ",(IF(B20="TOTALS",SUM($D$11:D19),FV($C$5/100,$C$8-B19,0,-C20))))</f>
        <v>17509.283192741434</v>
      </c>
    </row>
    <row r="21" spans="2:4" ht="15.75">
      <c r="B21" s="37">
        <f t="shared" si="0"/>
        <v>11</v>
      </c>
      <c r="C21" s="110">
        <v>6627</v>
      </c>
      <c r="D21" s="92">
        <f>IF(B21=" "," ",(IF(B21="TOTALS",SUM($D$11:D20),FV($C$5/100,$C$8-B20,0,-C21))))</f>
        <v>18284.102020320523</v>
      </c>
    </row>
    <row r="22" spans="2:4" ht="15.75">
      <c r="B22" s="37">
        <f t="shared" si="0"/>
        <v>12</v>
      </c>
      <c r="C22" s="110">
        <v>7416</v>
      </c>
      <c r="D22" s="92">
        <f>IF(B22=" "," ",(IF(B22="TOTALS",SUM($D$11:D21),FV($C$5/100,$C$8-B21,0,-C22))))</f>
        <v>19122.409257892446</v>
      </c>
    </row>
    <row r="23" spans="2:4" ht="15.75">
      <c r="B23" s="37">
        <f t="shared" si="0"/>
        <v>13</v>
      </c>
      <c r="C23" s="110">
        <v>8379</v>
      </c>
      <c r="D23" s="92">
        <f>IF(B23=" "," ",(IF(B23="TOTALS",SUM($D$11:D22),FV($C$5/100,$C$8-B22,0,-C23))))</f>
        <v>20192.091256575932</v>
      </c>
    </row>
    <row r="24" spans="2:4" ht="15.75">
      <c r="B24" s="37">
        <f t="shared" si="0"/>
        <v>14</v>
      </c>
      <c r="C24" s="110">
        <v>9492</v>
      </c>
      <c r="D24" s="92">
        <f>IF(B24=" "," ",(IF(B24="TOTALS",SUM($D$11:D23),FV($C$5/100,$C$8-B23,0,-C24))))</f>
        <v>21377.802562416138</v>
      </c>
    </row>
    <row r="25" spans="2:4" ht="15.75">
      <c r="B25" s="37">
        <f t="shared" si="0"/>
        <v>15</v>
      </c>
      <c r="C25" s="110">
        <v>10478</v>
      </c>
      <c r="D25" s="92">
        <f>IF(B25=" "," ",(IF(B25="TOTALS",SUM($D$11:D24),FV($C$5/100,$C$8-B24,0,-C25))))</f>
        <v>22054.638756197677</v>
      </c>
    </row>
    <row r="26" spans="2:4" ht="15.75">
      <c r="B26" s="37">
        <f t="shared" si="0"/>
        <v>16</v>
      </c>
      <c r="C26" s="110">
        <v>11476</v>
      </c>
      <c r="D26" s="92">
        <f>IF(B26=" "," ",(IF(B26="TOTALS",SUM($D$11:D25),FV($C$5/100,$C$8-B25,0,-C26))))</f>
        <v>22575.028976255053</v>
      </c>
    </row>
    <row r="27" spans="2:4" ht="15.75">
      <c r="B27" s="37">
        <f t="shared" si="0"/>
        <v>17</v>
      </c>
      <c r="C27" s="110">
        <v>12648</v>
      </c>
      <c r="D27" s="92">
        <f>IF(B27=" "," ",(IF(B27="TOTALS",SUM($D$11:D26),FV($C$5/100,$C$8-B26,0,-C27))))</f>
        <v>23252.832118690119</v>
      </c>
    </row>
    <row r="28" spans="2:4" ht="15.75">
      <c r="B28" s="37">
        <f t="shared" si="0"/>
        <v>18</v>
      </c>
      <c r="C28" s="110">
        <v>11778</v>
      </c>
      <c r="D28" s="92">
        <f>IF(B28=" "," ",(IF(B28="TOTALS",SUM($D$11:D27),FV($C$5/100,$C$8-B27,0,-C28))))</f>
        <v>20236.796826060356</v>
      </c>
    </row>
    <row r="29" spans="2:4" ht="15.75">
      <c r="B29" s="37">
        <f t="shared" si="0"/>
        <v>19</v>
      </c>
      <c r="C29" s="110">
        <v>12833</v>
      </c>
      <c r="D29" s="92">
        <f>IF(B29=" "," ",(IF(B29="TOTALS",SUM($D$11:D28),FV($C$5/100,$C$8-B28,0,-C29))))</f>
        <v>20606.993687647693</v>
      </c>
    </row>
    <row r="30" spans="2:4" ht="15.75">
      <c r="B30" s="37">
        <f t="shared" si="0"/>
        <v>20</v>
      </c>
      <c r="C30" s="110">
        <v>13843</v>
      </c>
      <c r="D30" s="92">
        <f>IF(B30=" "," ",(IF(B30="TOTALS",SUM($D$11:D29),FV($C$5/100,$C$8-B29,0,-C30))))</f>
        <v>20774.610260645706</v>
      </c>
    </row>
    <row r="31" spans="2:4" ht="15.75">
      <c r="B31" s="37">
        <f t="shared" si="0"/>
        <v>21</v>
      </c>
      <c r="C31" s="110">
        <v>14956</v>
      </c>
      <c r="D31" s="92">
        <f>IF(B31=" "," ",(IF(B31="TOTALS",SUM($D$11:D30),FV($C$5/100,$C$8-B30,0,-C31))))</f>
        <v>20976.563684349203</v>
      </c>
    </row>
    <row r="32" spans="2:4" ht="15.75">
      <c r="B32" s="37">
        <f t="shared" si="0"/>
        <v>22</v>
      </c>
      <c r="C32" s="110">
        <v>16905</v>
      </c>
      <c r="D32" s="92">
        <f>IF(B32=" "," ",(IF(B32="TOTALS",SUM($D$11:D31),FV($C$5/100,$C$8-B31,0,-C32))))</f>
        <v>22159.006549050002</v>
      </c>
    </row>
    <row r="33" spans="1:255" ht="15.75">
      <c r="B33" s="37">
        <f t="shared" si="0"/>
        <v>23</v>
      </c>
      <c r="C33" s="110">
        <v>15733</v>
      </c>
      <c r="D33" s="92">
        <f>IF(B33=" "," ",(IF(B33="TOTALS",SUM($D$11:D32),FV($C$5/100,$C$8-B32,0,-C33))))</f>
        <v>19273.601519</v>
      </c>
    </row>
    <row r="34" spans="1:255" ht="15.75">
      <c r="B34" s="37">
        <f t="shared" si="0"/>
        <v>24</v>
      </c>
      <c r="C34" s="110">
        <v>17415</v>
      </c>
      <c r="D34" s="92">
        <f>IF(B34=" "," ",(IF(B34="TOTALS",SUM($D$11:D33),FV($C$5/100,$C$8-B33,0,-C34))))</f>
        <v>19938.433499999999</v>
      </c>
    </row>
    <row r="35" spans="1:255" ht="15.75">
      <c r="B35" s="37">
        <f t="shared" si="0"/>
        <v>25</v>
      </c>
      <c r="C35" s="110">
        <v>19283</v>
      </c>
      <c r="D35" s="92">
        <f>IF(B35=" "," ",(IF(B35="TOTALS",SUM($D$11:D34),FV($C$5/100,$C$8-B34,0,-C35))))</f>
        <v>20632.810000000001</v>
      </c>
    </row>
    <row r="36" spans="1:255" ht="15.75">
      <c r="B36" s="37" t="str">
        <f t="shared" si="0"/>
        <v>Totals</v>
      </c>
      <c r="C36" s="110">
        <f>IF(B36="totals",SUM($C$10:$C35)," ")</f>
        <v>226487</v>
      </c>
      <c r="D36" s="92">
        <f>IF(B36=" "," ",(IF(B36="TOTALS",SUM($D$11:D35),FV($C$5/100,$C$8-B35,0,-C36))))</f>
        <v>454065.78782623145</v>
      </c>
    </row>
    <row r="37" spans="1:255" ht="15.75">
      <c r="B37" s="37" t="str">
        <f t="shared" si="0"/>
        <v xml:space="preserve"> </v>
      </c>
      <c r="C37" s="110" t="str">
        <f>IF(B37="totals",SUM($C$10:$C36)," ")</f>
        <v xml:space="preserve"> </v>
      </c>
      <c r="D37" s="92" t="str">
        <f>IF(B37=" "," ",(IF(B37="TOTALS",SUM($D$11:D36),FV($C$5/100,$C$8-B36,0,-C37))))</f>
        <v xml:space="preserve"> </v>
      </c>
    </row>
    <row r="38" spans="1:255" ht="15.75">
      <c r="B38" s="37" t="str">
        <f t="shared" si="0"/>
        <v xml:space="preserve"> </v>
      </c>
      <c r="C38" s="110" t="str">
        <f>IF(B38="totals",SUM($C$10:$C37)," ")</f>
        <v xml:space="preserve"> </v>
      </c>
      <c r="D38" s="92" t="str">
        <f>IF(B38=" "," ",(IF(B38="TOTALS",SUM($D$11:D37),FV($C$5/100,$C$8-B37,0,-C38))))</f>
        <v xml:space="preserve"> </v>
      </c>
    </row>
    <row r="39" spans="1:255" ht="15.75">
      <c r="B39" s="37" t="str">
        <f t="shared" si="0"/>
        <v xml:space="preserve"> </v>
      </c>
      <c r="C39" s="110" t="str">
        <f>IF(B39="totals",SUM($C$10:$C38)," ")</f>
        <v xml:space="preserve"> </v>
      </c>
      <c r="D39" s="92" t="str">
        <f>IF(B39=" "," ",(IF(B39="TOTALS",SUM($D$11:D38),FV($C$5/100,$C$8-B38,0,-C39))))</f>
        <v xml:space="preserve"> </v>
      </c>
    </row>
    <row r="40" spans="1:255" ht="15.75">
      <c r="B40" s="37" t="str">
        <f t="shared" si="0"/>
        <v xml:space="preserve"> </v>
      </c>
      <c r="C40" s="110" t="str">
        <f>IF(B40="totals",SUM($C$10:$C39)," ")</f>
        <v xml:space="preserve"> </v>
      </c>
      <c r="D40" s="92" t="str">
        <f>IF(B40=" "," ",(IF(B40="TOTALS",SUM($D$11:D39),FV($C$5/100,$C$8-B39,0,-C40))))</f>
        <v xml:space="preserve"> </v>
      </c>
    </row>
    <row r="41" spans="1:255" ht="15.75">
      <c r="A41" s="38"/>
      <c r="B41" s="37" t="str">
        <f t="shared" si="0"/>
        <v xml:space="preserve"> </v>
      </c>
      <c r="C41" s="110" t="str">
        <f>IF(B41="totals",SUM($C$10:$C40)," ")</f>
        <v xml:space="preserve"> </v>
      </c>
      <c r="D41" s="92" t="str">
        <f>IF(B41=" "," ",(IF(B41="TOTALS",SUM($D$11:D40),FV($C$5/100,$C$8-B40,0,-C41))))</f>
        <v xml:space="preserve"> 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</row>
    <row r="42" spans="1:255" ht="15.75">
      <c r="B42" s="37" t="str">
        <f t="shared" si="0"/>
        <v xml:space="preserve"> </v>
      </c>
      <c r="C42" s="110" t="str">
        <f>IF(B42="totals",SUM($C$10:$C41)," ")</f>
        <v xml:space="preserve"> </v>
      </c>
      <c r="D42" s="92" t="str">
        <f>IF(B42=" "," ",(IF(B42="TOTALS",SUM($D$11:D41),FV($C$5/100,$C$8-B41,0,-C42))))</f>
        <v xml:space="preserve"> </v>
      </c>
    </row>
    <row r="43" spans="1:255" ht="15.75">
      <c r="B43" s="37" t="str">
        <f t="shared" si="0"/>
        <v xml:space="preserve"> </v>
      </c>
      <c r="C43" s="110" t="str">
        <f>IF(B43="totals",SUM($C$10:$C42)," ")</f>
        <v xml:space="preserve"> </v>
      </c>
      <c r="D43" s="92" t="str">
        <f>IF(B43=" "," ",(IF(B43="TOTALS",SUM($D$11:D42),FV($C$5/100,$C$8-B42,0,-C43))))</f>
        <v xml:space="preserve"> </v>
      </c>
    </row>
    <row r="44" spans="1:255" ht="15.75">
      <c r="B44" s="37" t="str">
        <f t="shared" ref="B44:B61" si="1">IF(B43=" "," ",IF(B43="Totals"," ",IF(B43=$C$8,"Totals",IF(B43&lt;$C$8,B43+1," "))))</f>
        <v xml:space="preserve"> </v>
      </c>
      <c r="C44" s="110" t="str">
        <f>IF(B44="totals",SUM($C$10:$C43)," ")</f>
        <v xml:space="preserve"> </v>
      </c>
      <c r="D44" s="92" t="str">
        <f>IF(B44=" "," ",(IF(B44="TOTALS",SUM($D$11:D43),FV($C$5/100,$C$8-B43,0,-C44))))</f>
        <v xml:space="preserve"> </v>
      </c>
    </row>
    <row r="45" spans="1:255" ht="15.75">
      <c r="B45" s="37" t="str">
        <f t="shared" si="1"/>
        <v xml:space="preserve"> </v>
      </c>
      <c r="C45" s="110" t="str">
        <f>IF(B45="totals",SUM($C$10:$C44)," ")</f>
        <v xml:space="preserve"> </v>
      </c>
      <c r="D45" s="92" t="str">
        <f>IF(B45=" "," ",(IF(B45="TOTALS",SUM($D$11:D44),FV($C$5/100,$C$8-B44,0,-C45))))</f>
        <v xml:space="preserve"> </v>
      </c>
    </row>
    <row r="46" spans="1:255" ht="15.75">
      <c r="B46" s="37" t="str">
        <f t="shared" si="1"/>
        <v xml:space="preserve"> </v>
      </c>
      <c r="C46" s="110" t="str">
        <f>IF(B46="totals",SUM($C$10:$C45)," ")</f>
        <v xml:space="preserve"> </v>
      </c>
      <c r="D46" s="92" t="str">
        <f>IF(B46=" "," ",(IF(B46="TOTALS",SUM($D$11:D45),FV($C$5/100,$C$8-B45,0,-C46))))</f>
        <v xml:space="preserve"> </v>
      </c>
    </row>
    <row r="47" spans="1:255" ht="15.75">
      <c r="B47" s="37" t="str">
        <f t="shared" si="1"/>
        <v xml:space="preserve"> </v>
      </c>
      <c r="C47" s="110" t="str">
        <f>IF(B47="totals",SUM($C$10:$C46)," ")</f>
        <v xml:space="preserve"> </v>
      </c>
      <c r="D47" s="92" t="str">
        <f>IF(B47=" "," ",(IF(B47="TOTALS",SUM($D$11:D46),FV($C$5/100,$C$8-B46,0,-C47))))</f>
        <v xml:space="preserve"> </v>
      </c>
    </row>
    <row r="48" spans="1:255" ht="15.75">
      <c r="B48" s="37" t="str">
        <f t="shared" si="1"/>
        <v xml:space="preserve"> </v>
      </c>
      <c r="C48" s="110" t="str">
        <f>IF(B48="totals",SUM($C$10:$C47)," ")</f>
        <v xml:space="preserve"> </v>
      </c>
      <c r="D48" s="92" t="str">
        <f>IF(B48=" "," ",(IF(B48="TOTALS",SUM($D$11:D47),FV($C$5/100,$C$8-B47,0,-C48))))</f>
        <v xml:space="preserve"> </v>
      </c>
    </row>
    <row r="49" spans="2:4" ht="15.75">
      <c r="B49" s="37" t="str">
        <f t="shared" si="1"/>
        <v xml:space="preserve"> </v>
      </c>
      <c r="C49" s="110" t="str">
        <f>IF(B49="totals",SUM($C$10:$C48)," ")</f>
        <v xml:space="preserve"> </v>
      </c>
      <c r="D49" s="92" t="str">
        <f>IF(B49=" "," ",(IF(B49="TOTALS",SUM($D$11:D48),FV($C$5/100,$C$8-B48,0,-C49))))</f>
        <v xml:space="preserve"> </v>
      </c>
    </row>
    <row r="50" spans="2:4" ht="15.75">
      <c r="B50" s="37" t="str">
        <f t="shared" si="1"/>
        <v xml:space="preserve"> </v>
      </c>
      <c r="C50" s="110" t="str">
        <f>IF(B50="totals",SUM($C$10:$C49)," ")</f>
        <v xml:space="preserve"> </v>
      </c>
      <c r="D50" s="92" t="str">
        <f>IF(B50=" "," ",(IF(B50="TOTALS",SUM($D$11:D49),FV($C$5/100,$C$8-B49,0,-C50))))</f>
        <v xml:space="preserve"> </v>
      </c>
    </row>
    <row r="51" spans="2:4" ht="15.75">
      <c r="B51" s="37" t="str">
        <f t="shared" si="1"/>
        <v xml:space="preserve"> </v>
      </c>
      <c r="C51" s="110" t="str">
        <f>IF(B51="totals",SUM($C$10:$C50)," ")</f>
        <v xml:space="preserve"> </v>
      </c>
      <c r="D51" s="92" t="str">
        <f>IF(B51=" "," ",(IF(B51="TOTALS",SUM($D$11:D50),FV($C$5/100,$C$8-B50,0,-C51))))</f>
        <v xml:space="preserve"> </v>
      </c>
    </row>
    <row r="52" spans="2:4" ht="15.75">
      <c r="B52" s="37" t="str">
        <f t="shared" si="1"/>
        <v xml:space="preserve"> </v>
      </c>
      <c r="C52" s="110" t="str">
        <f>IF(B52="totals",SUM($C$10:$C51)," ")</f>
        <v xml:space="preserve"> </v>
      </c>
      <c r="D52" s="92" t="str">
        <f>IF(B52=" "," ",(IF(B52="TOTALS",SUM($D$11:D51),FV($C$5/100,$C$8-B51,0,-C52))))</f>
        <v xml:space="preserve"> </v>
      </c>
    </row>
    <row r="53" spans="2:4" ht="15.75">
      <c r="B53" s="37" t="str">
        <f t="shared" si="1"/>
        <v xml:space="preserve"> </v>
      </c>
      <c r="C53" s="110" t="str">
        <f>IF(B53="totals",SUM($C$10:$C52)," ")</f>
        <v xml:space="preserve"> </v>
      </c>
      <c r="D53" s="92" t="str">
        <f>IF(B53=" "," ",(IF(B53="TOTALS",SUM($D$11:D52),FV($C$5/100,$C$8-B52,0,-C53))))</f>
        <v xml:space="preserve"> </v>
      </c>
    </row>
    <row r="54" spans="2:4" ht="15.75">
      <c r="B54" s="37" t="str">
        <f t="shared" si="1"/>
        <v xml:space="preserve"> </v>
      </c>
      <c r="C54" s="110" t="str">
        <f>IF(B54="totals",SUM($C$10:$C53)," ")</f>
        <v xml:space="preserve"> </v>
      </c>
      <c r="D54" s="92" t="str">
        <f>IF(B54=" "," ",(IF(B54="TOTALS",SUM($D$11:D53),FV($C$5/100,$C$8-B53,0,-C54))))</f>
        <v xml:space="preserve"> </v>
      </c>
    </row>
    <row r="55" spans="2:4" ht="15.75">
      <c r="B55" s="37" t="str">
        <f t="shared" si="1"/>
        <v xml:space="preserve"> </v>
      </c>
      <c r="C55" s="110" t="str">
        <f>IF(B55="totals",SUM($C$10:$C54)," ")</f>
        <v xml:space="preserve"> </v>
      </c>
      <c r="D55" s="92" t="str">
        <f>IF(B55=" "," ",(IF(B55="TOTALS",SUM($D$11:D54),FV($C$5/100,$C$8-B54,0,-C55))))</f>
        <v xml:space="preserve"> </v>
      </c>
    </row>
    <row r="56" spans="2:4" ht="15.75">
      <c r="B56" s="37" t="str">
        <f t="shared" si="1"/>
        <v xml:space="preserve"> </v>
      </c>
      <c r="C56" s="110" t="str">
        <f>IF(B56="totals",SUM($C$10:$C55)," ")</f>
        <v xml:space="preserve"> </v>
      </c>
      <c r="D56" s="92" t="str">
        <f>IF(B56=" "," ",(IF(B56="TOTALS",SUM($D$11:D55),FV($C$5/100,$C$8-B55,0,-C56))))</f>
        <v xml:space="preserve"> </v>
      </c>
    </row>
    <row r="57" spans="2:4" ht="15.75">
      <c r="B57" s="37" t="str">
        <f t="shared" si="1"/>
        <v xml:space="preserve"> </v>
      </c>
      <c r="C57" s="110" t="str">
        <f>IF(B57="totals",SUM($C$10:$C56)," ")</f>
        <v xml:space="preserve"> </v>
      </c>
      <c r="D57" s="92" t="str">
        <f>IF(B57=" "," ",(IF(B57="TOTALS",SUM($D$11:D56),FV($C$5/100,$C$8-B56,0,-C57))))</f>
        <v xml:space="preserve"> </v>
      </c>
    </row>
    <row r="58" spans="2:4" ht="15.75">
      <c r="B58" s="37" t="str">
        <f t="shared" si="1"/>
        <v xml:space="preserve"> </v>
      </c>
      <c r="C58" s="110" t="str">
        <f>IF(B58="totals",SUM($C$10:$C57)," ")</f>
        <v xml:space="preserve"> </v>
      </c>
      <c r="D58" s="92" t="str">
        <f>IF(B58=" "," ",(IF(B58="TOTALS",SUM($D$11:D57),FV($C$5/100,$C$8-B57,0,-C58))))</f>
        <v xml:space="preserve"> </v>
      </c>
    </row>
    <row r="59" spans="2:4" ht="15.75">
      <c r="B59" s="37" t="str">
        <f t="shared" si="1"/>
        <v xml:space="preserve"> </v>
      </c>
      <c r="C59" s="110" t="str">
        <f>IF(B59="totals",SUM($C$10:$C58)," ")</f>
        <v xml:space="preserve"> </v>
      </c>
      <c r="D59" s="92" t="str">
        <f>IF(B59=" "," ",(IF(B59="TOTALS",SUM($D$11:D58),FV($C$5/100,$C$8-B58,0,-C59))))</f>
        <v xml:space="preserve"> </v>
      </c>
    </row>
    <row r="60" spans="2:4" ht="15.75">
      <c r="B60" s="37" t="str">
        <f t="shared" si="1"/>
        <v xml:space="preserve"> </v>
      </c>
      <c r="C60" s="110" t="str">
        <f>IF(B60="totals",SUM($C$10:$C59)," ")</f>
        <v xml:space="preserve"> </v>
      </c>
      <c r="D60" s="92" t="str">
        <f>IF(B60=" "," ",(IF(B60="TOTALS",SUM($D$11:D59),FV($C$5/100,$C$8-B59,0,-C60))))</f>
        <v xml:space="preserve"> </v>
      </c>
    </row>
    <row r="61" spans="2:4" ht="15.75">
      <c r="B61" s="37" t="str">
        <f t="shared" si="1"/>
        <v xml:space="preserve"> </v>
      </c>
      <c r="C61" s="110" t="str">
        <f>IF(B61="totals",SUM($C$10:$C60)," ")</f>
        <v xml:space="preserve"> </v>
      </c>
      <c r="D61" s="92" t="str">
        <f>IF(B61=" "," ",(IF(B61="TOTALS",SUM($D$11:D60),FV($C$5/100,$C$8-B60,0,-C61))))</f>
        <v xml:space="preserve"> </v>
      </c>
    </row>
  </sheetData>
  <phoneticPr fontId="0" type="noConversion"/>
  <printOptions horizontalCentered="1"/>
  <pageMargins left="0.5" right="0.5" top="0.5" bottom="0.5" header="0.5" footer="0.5"/>
  <pageSetup scale="84" orientation="portrait" r:id="rId1"/>
  <headerFooter alignWithMargins="0">
    <oddFooter>&amp;L&amp;8&amp;D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U54"/>
  <sheetViews>
    <sheetView defaultGridColor="0" colorId="23" zoomScale="77" workbookViewId="0">
      <selection activeCell="J2" sqref="J2"/>
    </sheetView>
  </sheetViews>
  <sheetFormatPr defaultColWidth="9.77734375" defaultRowHeight="15"/>
  <cols>
    <col min="1" max="1" width="6.77734375" customWidth="1"/>
    <col min="4" max="4" width="10.88671875" customWidth="1"/>
    <col min="5" max="5" width="10.77734375" customWidth="1"/>
    <col min="6" max="6" width="10.6640625" customWidth="1"/>
  </cols>
  <sheetData>
    <row r="1" spans="1:255" ht="40.5">
      <c r="A1" s="153" t="s">
        <v>26</v>
      </c>
      <c r="B1" s="154"/>
      <c r="C1" s="154"/>
      <c r="D1" s="147"/>
      <c r="E1" s="154"/>
      <c r="F1" s="154"/>
      <c r="G1" s="154"/>
      <c r="H1" s="102"/>
    </row>
    <row r="3" spans="1:255">
      <c r="A3" s="49"/>
      <c r="C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spans="1:255">
      <c r="B4" s="53" t="s">
        <v>27</v>
      </c>
      <c r="D4" s="53" t="s">
        <v>28</v>
      </c>
      <c r="E4" s="49"/>
      <c r="F4" s="53" t="s">
        <v>29</v>
      </c>
    </row>
    <row r="5" spans="1:255">
      <c r="B5" s="129">
        <v>100000</v>
      </c>
      <c r="D5" s="129">
        <v>0</v>
      </c>
      <c r="F5" s="130">
        <v>15</v>
      </c>
    </row>
    <row r="7" spans="1:255">
      <c r="B7" s="53" t="s">
        <v>30</v>
      </c>
      <c r="D7" s="53" t="s">
        <v>31</v>
      </c>
      <c r="F7" s="53" t="s">
        <v>6</v>
      </c>
    </row>
    <row r="8" spans="1:255">
      <c r="B8" s="86">
        <v>10000</v>
      </c>
      <c r="D8" s="132">
        <v>3</v>
      </c>
      <c r="E8" t="s">
        <v>52</v>
      </c>
      <c r="F8" s="131">
        <v>30</v>
      </c>
    </row>
    <row r="10" spans="1:255">
      <c r="A10" s="141"/>
    </row>
    <row r="12" spans="1:255">
      <c r="A12" s="72"/>
      <c r="B12" s="139" t="s">
        <v>32</v>
      </c>
      <c r="C12" s="139" t="s">
        <v>33</v>
      </c>
      <c r="D12" s="139" t="s">
        <v>10</v>
      </c>
      <c r="E12" s="139" t="s">
        <v>34</v>
      </c>
      <c r="F12" s="139" t="s">
        <v>9</v>
      </c>
      <c r="G12" s="139" t="s">
        <v>35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>
      <c r="A13" s="140" t="s">
        <v>20</v>
      </c>
      <c r="B13" s="140" t="s">
        <v>36</v>
      </c>
      <c r="C13" s="140" t="s">
        <v>37</v>
      </c>
      <c r="D13" s="140" t="s">
        <v>37</v>
      </c>
      <c r="E13" s="140" t="s">
        <v>38</v>
      </c>
      <c r="F13" s="140" t="s">
        <v>37</v>
      </c>
      <c r="G13" s="140" t="s">
        <v>39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ht="15.75">
      <c r="A14" s="89">
        <f>IF($F$5=0," ",1)</f>
        <v>1</v>
      </c>
      <c r="B14" s="90">
        <f>IF(+$B$5=0," ",$B$5)</f>
        <v>100000</v>
      </c>
      <c r="C14" s="91">
        <f>IF(+$B$8=0," ",$B$8)</f>
        <v>10000</v>
      </c>
      <c r="D14" s="91">
        <f>IF(A14=" "," ",+B14*($D$8/100))</f>
        <v>3000</v>
      </c>
      <c r="E14" s="92">
        <f>IF(A14=" "," ",+D14*($F$8/100))</f>
        <v>900</v>
      </c>
      <c r="F14" s="91">
        <f>IF(A14=" "," ",+C14-D14)</f>
        <v>7000</v>
      </c>
      <c r="G14" s="91">
        <f>IF(A14=" "," ",+D14-E14+F14)</f>
        <v>9100</v>
      </c>
    </row>
    <row r="15" spans="1:255" ht="15.75">
      <c r="A15" s="89">
        <f t="shared" ref="A15:A54" si="0">IF(A14=" "," ",IF(A14=$F$5,"Totals",IF(A14="Totals"," ",+A14+1)))</f>
        <v>2</v>
      </c>
      <c r="B15" s="90">
        <f t="shared" ref="B15:B54" si="1">IF(A15=" "," ",+B14-F14)</f>
        <v>93000</v>
      </c>
      <c r="C15" s="91">
        <f>IF(A15=" "," ",IF(A15="Totals",SUM(C14),+$B$8))</f>
        <v>10000</v>
      </c>
      <c r="D15" s="91">
        <f>IF(A15=" "," ",IF(A15="Totals",SUM(D14),+B15*($D$8/100)))</f>
        <v>2790</v>
      </c>
      <c r="E15" s="92">
        <f>IF(A15=" "," ",IF(A15="Totals",SUM(E14),+D15*($F$8/100)))</f>
        <v>837</v>
      </c>
      <c r="F15" s="91">
        <f>IF(A15=" "," ",IF(A15="Totals",SUM(F14),C15-D15))</f>
        <v>7210</v>
      </c>
      <c r="G15" s="91">
        <f>IF(A15=" "," ",IF(A15="Totals",SUM(G14),+D15-E15+F15))</f>
        <v>9163</v>
      </c>
    </row>
    <row r="16" spans="1:255" ht="15.75">
      <c r="A16" s="89">
        <f t="shared" si="0"/>
        <v>3</v>
      </c>
      <c r="B16" s="90">
        <f t="shared" si="1"/>
        <v>85790</v>
      </c>
      <c r="C16" s="91">
        <f>IF(A16=" "," ",IF(A16="Totals",SUM($C$14:C15),+$B$8))</f>
        <v>10000</v>
      </c>
      <c r="D16" s="91">
        <f>IF(A16=" "," ",IF(A16="Totals",SUM($D$14:D15),+B16*($D$8/100)))</f>
        <v>2573.6999999999998</v>
      </c>
      <c r="E16" s="92">
        <f>IF(A16=" "," ",IF(A16="Totals",SUM($E$14:E15),+D16*($F$8/100)))</f>
        <v>772.1099999999999</v>
      </c>
      <c r="F16" s="91">
        <f>IF(A16=" "," ",IF(A16="Totals",SUM($F$14:F15),C16-D16))</f>
        <v>7426.3</v>
      </c>
      <c r="G16" s="91">
        <f>IF(A16=" "," ",IF(A16="Totals",SUM($G$14:G15),+D16-E16+F16))</f>
        <v>9227.89</v>
      </c>
    </row>
    <row r="17" spans="1:7" ht="15.75">
      <c r="A17" s="89">
        <f t="shared" si="0"/>
        <v>4</v>
      </c>
      <c r="B17" s="90">
        <f t="shared" si="1"/>
        <v>78363.7</v>
      </c>
      <c r="C17" s="91">
        <f>IF(A17=" "," ",IF(A17="Totals",SUM($C$14:C16),+$B$8))</f>
        <v>10000</v>
      </c>
      <c r="D17" s="91">
        <f>IF(A17=" "," ",IF(A17="Totals",SUM($D$14:D16),+B17*($D$8/100)))</f>
        <v>2350.9109999999996</v>
      </c>
      <c r="E17" s="92">
        <f>IF(A17=" "," ",IF(A17="Totals",SUM($E$14:E16),+D17*($F$8/100)))</f>
        <v>705.27329999999984</v>
      </c>
      <c r="F17" s="91">
        <f>IF(A17=" "," ",IF(A17="Totals",SUM($F$14:F16),C17-D17))</f>
        <v>7649.0889999999999</v>
      </c>
      <c r="G17" s="91">
        <f>IF(A17=" "," ",IF(A17="Totals",SUM($G$14:G16),+D17-E17+F17))</f>
        <v>9294.7266999999993</v>
      </c>
    </row>
    <row r="18" spans="1:7" ht="15.75">
      <c r="A18" s="89">
        <f t="shared" si="0"/>
        <v>5</v>
      </c>
      <c r="B18" s="90">
        <f t="shared" si="1"/>
        <v>70714.611000000004</v>
      </c>
      <c r="C18" s="91">
        <f>IF(A18=" "," ",IF(A18="Totals",SUM($C$14:C17),+$B$8))</f>
        <v>10000</v>
      </c>
      <c r="D18" s="91">
        <f>IF(A18=" "," ",IF(A18="Totals",SUM($D$14:D17),+B18*($D$8/100)))</f>
        <v>2121.43833</v>
      </c>
      <c r="E18" s="92">
        <f>IF(A18=" "," ",IF(A18="Totals",SUM($E$14:E17),+D18*($F$8/100)))</f>
        <v>636.43149899999992</v>
      </c>
      <c r="F18" s="91">
        <f>IF(A18=" "," ",IF(A18="Totals",SUM($F$14:F17),C18-D18))</f>
        <v>7878.56167</v>
      </c>
      <c r="G18" s="91">
        <f>IF(A18=" "," ",IF(A18="Totals",SUM($G$14:G17),+D18-E18+F18))</f>
        <v>9363.5685009999997</v>
      </c>
    </row>
    <row r="19" spans="1:7" ht="15.75">
      <c r="A19" s="89">
        <f t="shared" si="0"/>
        <v>6</v>
      </c>
      <c r="B19" s="90">
        <f t="shared" si="1"/>
        <v>62836.049330000002</v>
      </c>
      <c r="C19" s="91">
        <f>IF(A19=" "," ",IF(A19="Totals",SUM($C$14:C18),+$B$8))</f>
        <v>10000</v>
      </c>
      <c r="D19" s="91">
        <f>IF(A19=" "," ",IF(A19="Totals",SUM($D$14:D18),+B19*($D$8/100)))</f>
        <v>1885.0814799</v>
      </c>
      <c r="E19" s="92">
        <f>IF(A19=" "," ",IF(A19="Totals",SUM($E$14:E18),+D19*($F$8/100)))</f>
        <v>565.52444396999999</v>
      </c>
      <c r="F19" s="91">
        <f>IF(A19=" "," ",IF(A19="Totals",SUM($F$14:F18),C19-D19))</f>
        <v>8114.9185201</v>
      </c>
      <c r="G19" s="91">
        <f>IF(A19=" "," ",IF(A19="Totals",SUM($G$14:G18),+D19-E19+F19))</f>
        <v>9434.47555603</v>
      </c>
    </row>
    <row r="20" spans="1:7" ht="15.75">
      <c r="A20" s="89">
        <f t="shared" si="0"/>
        <v>7</v>
      </c>
      <c r="B20" s="90">
        <f t="shared" si="1"/>
        <v>54721.130809900002</v>
      </c>
      <c r="C20" s="91">
        <f>IF(A20=" "," ",IF(A20="Totals",SUM($C$14:C19),+$B$8))</f>
        <v>10000</v>
      </c>
      <c r="D20" s="91">
        <f>IF(A20=" "," ",IF(A20="Totals",SUM($D$14:D19),+B20*($D$8/100)))</f>
        <v>1641.633924297</v>
      </c>
      <c r="E20" s="92">
        <f>IF(A20=" "," ",IF(A20="Totals",SUM($E$14:E19),+D20*($F$8/100)))</f>
        <v>492.49017728909996</v>
      </c>
      <c r="F20" s="91">
        <f>IF(A20=" "," ",IF(A20="Totals",SUM($F$14:F19),C20-D20))</f>
        <v>8358.3660757029993</v>
      </c>
      <c r="G20" s="91">
        <f>IF(A20=" "," ",IF(A20="Totals",SUM($G$14:G19),+D20-E20+F20))</f>
        <v>9507.5098227108992</v>
      </c>
    </row>
    <row r="21" spans="1:7" ht="15.75">
      <c r="A21" s="89">
        <f t="shared" si="0"/>
        <v>8</v>
      </c>
      <c r="B21" s="90">
        <f t="shared" si="1"/>
        <v>46362.764734197001</v>
      </c>
      <c r="C21" s="91">
        <f>IF(A21=" "," ",IF(A21="Totals",SUM($C$14:C20),+$B$8))</f>
        <v>10000</v>
      </c>
      <c r="D21" s="91">
        <f>IF(A21=" "," ",IF(A21="Totals",SUM($D$14:D20),+B21*($D$8/100)))</f>
        <v>1390.8829420259099</v>
      </c>
      <c r="E21" s="92">
        <f>IF(A21=" "," ",IF(A21="Totals",SUM($E$14:E20),+D21*($F$8/100)))</f>
        <v>417.26488260777296</v>
      </c>
      <c r="F21" s="91">
        <f>IF(A21=" "," ",IF(A21="Totals",SUM($F$14:F20),C21-D21))</f>
        <v>8609.1170579740901</v>
      </c>
      <c r="G21" s="91">
        <f>IF(A21=" "," ",IF(A21="Totals",SUM($G$14:G20),+D21-E21+F21))</f>
        <v>9582.735117392227</v>
      </c>
    </row>
    <row r="22" spans="1:7" ht="15.75">
      <c r="A22" s="89">
        <f t="shared" si="0"/>
        <v>9</v>
      </c>
      <c r="B22" s="90">
        <f t="shared" si="1"/>
        <v>37753.647676222914</v>
      </c>
      <c r="C22" s="91">
        <f>IF(A22=" "," ",IF(A22="Totals",SUM($C$14:C21),+$B$8))</f>
        <v>10000</v>
      </c>
      <c r="D22" s="91">
        <f>IF(A22=" "," ",IF(A22="Totals",SUM($D$14:D21),+B22*($D$8/100)))</f>
        <v>1132.6094302866875</v>
      </c>
      <c r="E22" s="92">
        <f>IF(A22=" "," ",IF(A22="Totals",SUM($E$14:E21),+D22*($F$8/100)))</f>
        <v>339.78282908600625</v>
      </c>
      <c r="F22" s="91">
        <f>IF(A22=" "," ",IF(A22="Totals",SUM($F$14:F21),C22-D22))</f>
        <v>8867.3905697133123</v>
      </c>
      <c r="G22" s="91">
        <f>IF(A22=" "," ",IF(A22="Totals",SUM($G$14:G21),+D22-E22+F22))</f>
        <v>9660.217170913993</v>
      </c>
    </row>
    <row r="23" spans="1:7" ht="15.75">
      <c r="A23" s="89">
        <f t="shared" si="0"/>
        <v>10</v>
      </c>
      <c r="B23" s="90">
        <f t="shared" si="1"/>
        <v>28886.257106509602</v>
      </c>
      <c r="C23" s="91">
        <f>IF(A23=" "," ",IF(A23="Totals",SUM($C$14:C22),+$B$8))</f>
        <v>10000</v>
      </c>
      <c r="D23" s="91">
        <f>IF(A23=" "," ",IF(A23="Totals",SUM($D$14:D22),+B23*($D$8/100)))</f>
        <v>866.58771319528807</v>
      </c>
      <c r="E23" s="92">
        <f>IF(A23=" "," ",IF(A23="Totals",SUM($E$14:E22),+D23*($F$8/100)))</f>
        <v>259.97631395858639</v>
      </c>
      <c r="F23" s="91">
        <f>IF(A23=" "," ",IF(A23="Totals",SUM($F$14:F22),C23-D23))</f>
        <v>9133.4122868047125</v>
      </c>
      <c r="G23" s="91">
        <f>IF(A23=" "," ",IF(A23="Totals",SUM($G$14:G22),+D23-E23+F23))</f>
        <v>9740.0236860414134</v>
      </c>
    </row>
    <row r="24" spans="1:7" ht="15.75">
      <c r="A24" s="89">
        <f t="shared" si="0"/>
        <v>11</v>
      </c>
      <c r="B24" s="90">
        <f t="shared" si="1"/>
        <v>19752.844819704889</v>
      </c>
      <c r="C24" s="91">
        <f>IF(A24=" "," ",IF(A24="Totals",SUM($C$14:C23),+$B$8))</f>
        <v>10000</v>
      </c>
      <c r="D24" s="91">
        <f>IF(A24=" "," ",IF(A24="Totals",SUM($D$14:D23),+B24*($D$8/100)))</f>
        <v>592.58534459114662</v>
      </c>
      <c r="E24" s="92">
        <f>IF(A24=" "," ",IF(A24="Totals",SUM($E$14:E23),+D24*($F$8/100)))</f>
        <v>177.77560337734397</v>
      </c>
      <c r="F24" s="91">
        <f>IF(A24=" "," ",IF(A24="Totals",SUM($F$14:F23),C24-D24))</f>
        <v>9407.4146554088529</v>
      </c>
      <c r="G24" s="91">
        <f>IF(A24=" "," ",IF(A24="Totals",SUM($G$14:G23),+D24-E24+F24))</f>
        <v>9822.2243966226561</v>
      </c>
    </row>
    <row r="25" spans="1:7" ht="15.75">
      <c r="A25" s="89">
        <f t="shared" si="0"/>
        <v>12</v>
      </c>
      <c r="B25" s="90">
        <f t="shared" si="1"/>
        <v>10345.430164296036</v>
      </c>
      <c r="C25" s="91">
        <f>IF(A25=" "," ",IF(A25="Totals",SUM($C$14:C24),+$B$8))</f>
        <v>10000</v>
      </c>
      <c r="D25" s="91">
        <f>IF(A25=" "," ",IF(A25="Totals",SUM($D$14:D24),+B25*($D$8/100)))</f>
        <v>310.36290492888105</v>
      </c>
      <c r="E25" s="92">
        <f>IF(A25=" "," ",IF(A25="Totals",SUM($E$14:E24),+D25*($F$8/100)))</f>
        <v>93.108871478664312</v>
      </c>
      <c r="F25" s="91">
        <f>IF(A25=" "," ",IF(A25="Totals",SUM($F$14:F24),C25-D25))</f>
        <v>9689.6370950711189</v>
      </c>
      <c r="G25" s="91">
        <f>IF(A25=" "," ",IF(A25="Totals",SUM($G$14:G24),+D25-E25+F25))</f>
        <v>9906.8911285213362</v>
      </c>
    </row>
    <row r="26" spans="1:7" ht="15.75">
      <c r="A26" s="89">
        <f t="shared" si="0"/>
        <v>13</v>
      </c>
      <c r="B26" s="90">
        <f t="shared" si="1"/>
        <v>655.79306922491742</v>
      </c>
      <c r="C26" s="91">
        <f>IF(A26=" "," ",IF(A26="Totals",SUM($C$14:C25),+$B$8))</f>
        <v>10000</v>
      </c>
      <c r="D26" s="91">
        <f>IF(A26=" "," ",IF(A26="Totals",SUM($D$14:D25),+B26*($D$8/100)))</f>
        <v>19.673792076747521</v>
      </c>
      <c r="E26" s="92">
        <f>IF(A26=" "," ",IF(A26="Totals",SUM($E$14:E25),+D26*($F$8/100)))</f>
        <v>5.9021376230242559</v>
      </c>
      <c r="F26" s="91">
        <f>IF(A26=" "," ",IF(A26="Totals",SUM($F$14:F25),C26-D26))</f>
        <v>9980.3262079232518</v>
      </c>
      <c r="G26" s="91">
        <f>IF(A26=" "," ",IF(A26="Totals",SUM($G$14:G25),+D26-E26+F26))</f>
        <v>9994.0978623769752</v>
      </c>
    </row>
    <row r="27" spans="1:7" ht="15.75">
      <c r="A27" s="89">
        <f t="shared" si="0"/>
        <v>14</v>
      </c>
      <c r="B27" s="90">
        <f t="shared" si="1"/>
        <v>-9324.5331386983344</v>
      </c>
      <c r="C27" s="91">
        <f>IF(A27=" "," ",IF(A27="Totals",SUM($C$14:C26),+$B$8))</f>
        <v>10000</v>
      </c>
      <c r="D27" s="91">
        <f>IF(A27=" "," ",IF(A27="Totals",SUM($D$14:D26),+B27*($D$8/100)))</f>
        <v>-279.73599416095004</v>
      </c>
      <c r="E27" s="92">
        <f>IF(A27=" "," ",IF(A27="Totals",SUM($E$14:E26),+D27*($F$8/100)))</f>
        <v>-83.92079824828501</v>
      </c>
      <c r="F27" s="91">
        <f>IF(A27=" "," ",IF(A27="Totals",SUM($F$14:F26),C27-D27))</f>
        <v>10279.73599416095</v>
      </c>
      <c r="G27" s="91">
        <f>IF(A27=" "," ",IF(A27="Totals",SUM($G$14:G26),+D27-E27+F27))</f>
        <v>10083.920798248286</v>
      </c>
    </row>
    <row r="28" spans="1:7" ht="15.75">
      <c r="A28" s="89">
        <f t="shared" si="0"/>
        <v>15</v>
      </c>
      <c r="B28" s="90">
        <f t="shared" si="1"/>
        <v>-19604.269132859285</v>
      </c>
      <c r="C28" s="91">
        <f>IF(A28=" "," ",IF(A28="Totals",SUM($C$14:C27),+$B$8))</f>
        <v>10000</v>
      </c>
      <c r="D28" s="91">
        <f>IF(A28=" "," ",IF(A28="Totals",SUM($D$14:D27),+B28*($D$8/100)))</f>
        <v>-588.12807398577854</v>
      </c>
      <c r="E28" s="92">
        <f>IF(A28=" "," ",IF(A28="Totals",SUM($E$14:E27),+D28*($F$8/100)))</f>
        <v>-176.43842219573355</v>
      </c>
      <c r="F28" s="91">
        <f>IF(A28=" "," ",IF(A28="Totals",SUM($F$14:F27),C28-D28))</f>
        <v>10588.128073985779</v>
      </c>
      <c r="G28" s="91">
        <f>IF(A28=" "," ",IF(A28="Totals",SUM($G$14:G27),+D28-E28+F28))</f>
        <v>10176.438422195733</v>
      </c>
    </row>
    <row r="29" spans="1:7" ht="15.75">
      <c r="A29" s="89" t="str">
        <f t="shared" si="0"/>
        <v>Totals</v>
      </c>
      <c r="B29" s="90">
        <f t="shared" si="1"/>
        <v>-30192.397206845064</v>
      </c>
      <c r="C29" s="91">
        <f>IF(A29=" "," ",IF(A29="Totals",SUM($C$14:C28),+$B$8))</f>
        <v>150000</v>
      </c>
      <c r="D29" s="91">
        <f>IF(A29=" "," ",IF(A29="Totals",SUM($D$14:D28),+B29*($D$8/100)))</f>
        <v>19807.602793154932</v>
      </c>
      <c r="E29" s="92">
        <f>IF(A29=" "," ",IF(A29="Totals",SUM($E$14:E28),+D29*($F$8/100)))</f>
        <v>5942.2808379464796</v>
      </c>
      <c r="F29" s="91">
        <f>IF(A29=" "," ",IF(A29="Totals",SUM($F$14:F28),C29-D29))</f>
        <v>130192.39720684505</v>
      </c>
      <c r="G29" s="91">
        <f>IF(A29=" "," ",IF(A29="Totals",SUM($G$14:G28),+D29-E29+F29))</f>
        <v>144057.71916205352</v>
      </c>
    </row>
    <row r="30" spans="1:7" ht="15.75">
      <c r="A30" s="89" t="str">
        <f t="shared" si="0"/>
        <v xml:space="preserve"> </v>
      </c>
      <c r="B30" s="90" t="str">
        <f t="shared" si="1"/>
        <v xml:space="preserve"> </v>
      </c>
      <c r="C30" s="91" t="str">
        <f>IF(A30=" "," ",IF(A30="Totals",SUM($C$14:C29),+$B$8))</f>
        <v xml:space="preserve"> </v>
      </c>
      <c r="D30" s="91" t="str">
        <f>IF(A30=" "," ",IF(A30="Totals",SUM($D$14:D29),+B30*($D$8/100)))</f>
        <v xml:space="preserve"> </v>
      </c>
      <c r="E30" s="92" t="str">
        <f>IF(A30=" "," ",IF(A30="Totals",SUM($E$14:E29),+D30*($F$8/100)))</f>
        <v xml:space="preserve"> </v>
      </c>
      <c r="F30" s="91" t="str">
        <f>IF(A30=" "," ",IF(A30="Totals",SUM($F$14:F29),C30-D30))</f>
        <v xml:space="preserve"> </v>
      </c>
      <c r="G30" s="91" t="str">
        <f>IF(A30=" "," ",IF(A30="Totals",SUM($G$14:G29),+D30-E30+F30))</f>
        <v xml:space="preserve"> </v>
      </c>
    </row>
    <row r="31" spans="1:7" ht="15.75">
      <c r="A31" s="89" t="str">
        <f t="shared" si="0"/>
        <v xml:space="preserve"> </v>
      </c>
      <c r="B31" s="90" t="str">
        <f t="shared" si="1"/>
        <v xml:space="preserve"> </v>
      </c>
      <c r="C31" s="91" t="str">
        <f>IF(A31=" "," ",IF(A31="Totals",SUM($C$14:C30),+$B$8))</f>
        <v xml:space="preserve"> </v>
      </c>
      <c r="D31" s="91" t="str">
        <f>IF(A31=" "," ",IF(A31="Totals",SUM($D$14:D30),+B31*($D$8/100)))</f>
        <v xml:space="preserve"> </v>
      </c>
      <c r="E31" s="92" t="str">
        <f>IF(A31=" "," ",IF(A31="Totals",SUM($E$14:E30),+D31*($F$8/100)))</f>
        <v xml:space="preserve"> </v>
      </c>
      <c r="F31" s="91" t="str">
        <f>IF(A31=" "," ",IF(A31="Totals",SUM($F$14:F30),C31-D31))</f>
        <v xml:space="preserve"> </v>
      </c>
      <c r="G31" s="91" t="str">
        <f>IF(A31=" "," ",IF(A31="Totals",SUM($G$14:G30),+D31-E31+F31))</f>
        <v xml:space="preserve"> </v>
      </c>
    </row>
    <row r="32" spans="1:7" ht="15.75">
      <c r="A32" s="89" t="str">
        <f t="shared" si="0"/>
        <v xml:space="preserve"> </v>
      </c>
      <c r="B32" s="90" t="str">
        <f t="shared" si="1"/>
        <v xml:space="preserve"> </v>
      </c>
      <c r="C32" s="91" t="str">
        <f>IF(A32=" "," ",IF(A32="Totals",SUM($C$14:C31),+$B$8))</f>
        <v xml:space="preserve"> </v>
      </c>
      <c r="D32" s="91" t="str">
        <f>IF(A32=" "," ",IF(A32="Totals",SUM($D$14:D31),+B32*($D$8/100)))</f>
        <v xml:space="preserve"> </v>
      </c>
      <c r="E32" s="92" t="str">
        <f>IF(A32=" "," ",IF(A32="Totals",SUM($E$14:E31),+D32*($F$8/100)))</f>
        <v xml:space="preserve"> </v>
      </c>
      <c r="F32" s="91" t="str">
        <f>IF(A32=" "," ",IF(A32="Totals",SUM($F$14:F31),C32-D32))</f>
        <v xml:space="preserve"> </v>
      </c>
      <c r="G32" s="91" t="str">
        <f>IF(A32=" "," ",IF(A32="Totals",SUM($G$14:G31),+D32-E32+F32))</f>
        <v xml:space="preserve"> </v>
      </c>
    </row>
    <row r="33" spans="1:7" ht="15.75">
      <c r="A33" s="89" t="str">
        <f t="shared" si="0"/>
        <v xml:space="preserve"> </v>
      </c>
      <c r="B33" s="90" t="str">
        <f t="shared" si="1"/>
        <v xml:space="preserve"> </v>
      </c>
      <c r="C33" s="91" t="str">
        <f>IF(A33=" "," ",IF(A33="Totals",SUM($C$14:C32),+$B$8))</f>
        <v xml:space="preserve"> </v>
      </c>
      <c r="D33" s="91" t="str">
        <f>IF(A33=" "," ",IF(A33="Totals",SUM($D$14:D32),+B33*($D$8/100)))</f>
        <v xml:space="preserve"> </v>
      </c>
      <c r="E33" s="92" t="str">
        <f>IF(A33=" "," ",IF(A33="Totals",SUM($E$14:E32),+D33*($F$8/100)))</f>
        <v xml:space="preserve"> </v>
      </c>
      <c r="F33" s="91" t="str">
        <f>IF(A33=" "," ",IF(A33="Totals",SUM($F$14:F32),C33-D33))</f>
        <v xml:space="preserve"> </v>
      </c>
      <c r="G33" s="91" t="str">
        <f>IF(A33=" "," ",IF(A33="Totals",SUM($G$14:G32),+D33-E33+F33))</f>
        <v xml:space="preserve"> </v>
      </c>
    </row>
    <row r="34" spans="1:7" ht="15.75">
      <c r="A34" s="89" t="str">
        <f t="shared" si="0"/>
        <v xml:space="preserve"> </v>
      </c>
      <c r="B34" s="90" t="str">
        <f t="shared" si="1"/>
        <v xml:space="preserve"> </v>
      </c>
      <c r="C34" s="91" t="str">
        <f>IF(A34=" "," ",IF(A34="Totals",SUM($C$14:C33),+$B$8))</f>
        <v xml:space="preserve"> </v>
      </c>
      <c r="D34" s="91" t="str">
        <f>IF(A34=" "," ",IF(A34="Totals",SUM($D$14:D33),+B34*($D$8/100)))</f>
        <v xml:space="preserve"> </v>
      </c>
      <c r="E34" s="92" t="str">
        <f>IF(A34=" "," ",IF(A34="Totals",SUM($E$14:E33),+D34*($F$8/100)))</f>
        <v xml:space="preserve"> </v>
      </c>
      <c r="F34" s="91" t="str">
        <f>IF(A34=" "," ",IF(A34="Totals",SUM($F$14:F33),C34-D34))</f>
        <v xml:space="preserve"> </v>
      </c>
      <c r="G34" s="91" t="str">
        <f>IF(A34=" "," ",IF(A34="Totals",SUM($G$14:G33),+D34-E34+F34))</f>
        <v xml:space="preserve"> </v>
      </c>
    </row>
    <row r="35" spans="1:7" ht="15.75">
      <c r="A35" s="89" t="str">
        <f t="shared" si="0"/>
        <v xml:space="preserve"> </v>
      </c>
      <c r="B35" s="90" t="str">
        <f t="shared" si="1"/>
        <v xml:space="preserve"> </v>
      </c>
      <c r="C35" s="91" t="str">
        <f>IF(A35=" "," ",IF(A35="Totals",SUM($C$14:C34),+$B$8))</f>
        <v xml:space="preserve"> </v>
      </c>
      <c r="D35" s="91" t="str">
        <f>IF(A35=" "," ",IF(A35="Totals",SUM($D$14:D34),+B35*($D$8/100)))</f>
        <v xml:space="preserve"> </v>
      </c>
      <c r="E35" s="92" t="str">
        <f>IF(A35=" "," ",IF(A35="Totals",SUM($E$14:E34),+D35*($F$8/100)))</f>
        <v xml:space="preserve"> </v>
      </c>
      <c r="F35" s="91" t="str">
        <f>IF(A35=" "," ",IF(A35="Totals",SUM($F$14:F34),C35-D35))</f>
        <v xml:space="preserve"> </v>
      </c>
      <c r="G35" s="91" t="str">
        <f>IF(A35=" "," ",IF(A35="Totals",SUM($G$14:G34),+D35-E35+F35))</f>
        <v xml:space="preserve"> </v>
      </c>
    </row>
    <row r="36" spans="1:7" ht="15.75">
      <c r="A36" s="89" t="str">
        <f t="shared" si="0"/>
        <v xml:space="preserve"> </v>
      </c>
      <c r="B36" s="90" t="str">
        <f t="shared" si="1"/>
        <v xml:space="preserve"> </v>
      </c>
      <c r="C36" s="91" t="str">
        <f>IF(A36=" "," ",IF(A36="Totals",SUM($C$14:C35),+$B$8))</f>
        <v xml:space="preserve"> </v>
      </c>
      <c r="D36" s="91" t="str">
        <f>IF(A36=" "," ",IF(A36="Totals",SUM($D$14:D35),+B36*($D$8/100)))</f>
        <v xml:space="preserve"> </v>
      </c>
      <c r="E36" s="92" t="str">
        <f>IF(A36=" "," ",IF(A36="Totals",SUM($E$14:E35),+D36*($F$8/100)))</f>
        <v xml:space="preserve"> </v>
      </c>
      <c r="F36" s="91" t="str">
        <f>IF(A36=" "," ",IF(A36="Totals",SUM($F$14:F35),C36-D36))</f>
        <v xml:space="preserve"> </v>
      </c>
      <c r="G36" s="91" t="str">
        <f>IF(A36=" "," ",IF(A36="Totals",SUM($G$14:G35),+D36-E36+F36))</f>
        <v xml:space="preserve"> </v>
      </c>
    </row>
    <row r="37" spans="1:7" ht="15.75">
      <c r="A37" s="89" t="str">
        <f t="shared" si="0"/>
        <v xml:space="preserve"> </v>
      </c>
      <c r="B37" s="90" t="str">
        <f t="shared" si="1"/>
        <v xml:space="preserve"> </v>
      </c>
      <c r="C37" s="91" t="str">
        <f>IF(A37=" "," ",IF(A37="Totals",SUM($C$14:C36),+$B$8))</f>
        <v xml:space="preserve"> </v>
      </c>
      <c r="D37" s="91" t="str">
        <f>IF(A37=" "," ",IF(A37="Totals",SUM($D$14:D36),+B37*($D$8/100)))</f>
        <v xml:space="preserve"> </v>
      </c>
      <c r="E37" s="92" t="str">
        <f>IF(A37=" "," ",IF(A37="Totals",SUM($E$14:E36),+D37*($F$8/100)))</f>
        <v xml:space="preserve"> </v>
      </c>
      <c r="F37" s="91" t="str">
        <f>IF(A37=" "," ",IF(A37="Totals",SUM($F$14:F36),C37-D37))</f>
        <v xml:space="preserve"> </v>
      </c>
      <c r="G37" s="91" t="str">
        <f>IF(A37=" "," ",IF(A37="Totals",SUM($G$14:G36),+D37-E37+F37))</f>
        <v xml:space="preserve"> </v>
      </c>
    </row>
    <row r="38" spans="1:7" ht="15.75">
      <c r="A38" s="89" t="str">
        <f t="shared" si="0"/>
        <v xml:space="preserve"> </v>
      </c>
      <c r="B38" s="90" t="str">
        <f t="shared" si="1"/>
        <v xml:space="preserve"> </v>
      </c>
      <c r="C38" s="91" t="str">
        <f>IF(A38=" "," ",IF(A38="Totals",SUM($C$14:C37),+$B$8))</f>
        <v xml:space="preserve"> </v>
      </c>
      <c r="D38" s="91" t="str">
        <f>IF(A38=" "," ",IF(A38="Totals",SUM($D$14:D37),+B38*($D$8/100)))</f>
        <v xml:space="preserve"> </v>
      </c>
      <c r="E38" s="92" t="str">
        <f>IF(A38=" "," ",IF(A38="Totals",SUM($E$14:E37),+D38*($F$8/100)))</f>
        <v xml:space="preserve"> </v>
      </c>
      <c r="F38" s="91" t="str">
        <f>IF(A38=" "," ",IF(A38="Totals",SUM($F$14:F37),C38-D38))</f>
        <v xml:space="preserve"> </v>
      </c>
      <c r="G38" s="91" t="str">
        <f>IF(A38=" "," ",IF(A38="Totals",SUM($G$14:G37),+D38-E38+F38))</f>
        <v xml:space="preserve"> </v>
      </c>
    </row>
    <row r="39" spans="1:7" ht="15.75">
      <c r="A39" s="89" t="str">
        <f t="shared" si="0"/>
        <v xml:space="preserve"> </v>
      </c>
      <c r="B39" s="90" t="str">
        <f t="shared" si="1"/>
        <v xml:space="preserve"> </v>
      </c>
      <c r="C39" s="91" t="str">
        <f>IF(A39=" "," ",IF(A39="Totals",SUM($C$14:C38),+$B$8))</f>
        <v xml:space="preserve"> </v>
      </c>
      <c r="D39" s="91" t="str">
        <f>IF(A39=" "," ",IF(A39="Totals",SUM($D$14:D38),+B39*($D$8/100)))</f>
        <v xml:space="preserve"> </v>
      </c>
      <c r="E39" s="92" t="str">
        <f>IF(A39=" "," ",IF(A39="Totals",SUM($E$14:E38),+D39*($F$8/100)))</f>
        <v xml:space="preserve"> </v>
      </c>
      <c r="F39" s="91" t="str">
        <f>IF(A39=" "," ",IF(A39="Totals",SUM($F$14:F38),C39-D39))</f>
        <v xml:space="preserve"> </v>
      </c>
      <c r="G39" s="91" t="str">
        <f>IF(A39=" "," ",IF(A39="Totals",SUM($G$14:G38),+D39-E39+F39))</f>
        <v xml:space="preserve"> </v>
      </c>
    </row>
    <row r="40" spans="1:7" ht="15.75">
      <c r="A40" s="89" t="str">
        <f t="shared" si="0"/>
        <v xml:space="preserve"> </v>
      </c>
      <c r="B40" s="90" t="str">
        <f t="shared" si="1"/>
        <v xml:space="preserve"> </v>
      </c>
      <c r="C40" s="91" t="str">
        <f>IF(A40=" "," ",IF(A40="Totals",SUM($C$14:C39),+$B$8))</f>
        <v xml:space="preserve"> </v>
      </c>
      <c r="D40" s="91" t="str">
        <f>IF(A40=" "," ",IF(A40="Totals",SUM($D$14:D39),+B40*($D$8/100)))</f>
        <v xml:space="preserve"> </v>
      </c>
      <c r="E40" s="92" t="str">
        <f>IF(A40=" "," ",IF(A40="Totals",SUM($E$14:E39),+D40*($F$8/100)))</f>
        <v xml:space="preserve"> </v>
      </c>
      <c r="F40" s="91" t="str">
        <f>IF(A40=" "," ",IF(A40="Totals",SUM($F$14:F39),C40-D40))</f>
        <v xml:space="preserve"> </v>
      </c>
      <c r="G40" s="91" t="str">
        <f>IF(A40=" "," ",IF(A40="Totals",SUM($G$14:G39),+D40-E40+F40))</f>
        <v xml:space="preserve"> </v>
      </c>
    </row>
    <row r="41" spans="1:7" ht="15.75">
      <c r="A41" s="89" t="str">
        <f t="shared" si="0"/>
        <v xml:space="preserve"> </v>
      </c>
      <c r="B41" s="90" t="str">
        <f t="shared" si="1"/>
        <v xml:space="preserve"> </v>
      </c>
      <c r="C41" s="91" t="str">
        <f>IF(A41=" "," ",IF(A41="Totals",SUM($C$14:C40),+$B$8))</f>
        <v xml:space="preserve"> </v>
      </c>
      <c r="D41" s="91" t="str">
        <f>IF(A41=" "," ",IF(A41="Totals",SUM($D$14:D40),+B41*($D$8/100)))</f>
        <v xml:space="preserve"> </v>
      </c>
      <c r="E41" s="92" t="str">
        <f>IF(A41=" "," ",IF(A41="Totals",SUM($E$14:E40),+D41*($F$8/100)))</f>
        <v xml:space="preserve"> </v>
      </c>
      <c r="F41" s="91" t="str">
        <f>IF(A41=" "," ",IF(A41="Totals",SUM($F$14:F40),C41-D41))</f>
        <v xml:space="preserve"> </v>
      </c>
      <c r="G41" s="91" t="str">
        <f>IF(A41=" "," ",IF(A41="Totals",SUM($G$14:G40),+D41-E41+F41))</f>
        <v xml:space="preserve"> </v>
      </c>
    </row>
    <row r="42" spans="1:7" ht="15.75">
      <c r="A42" s="89" t="str">
        <f t="shared" si="0"/>
        <v xml:space="preserve"> </v>
      </c>
      <c r="B42" s="90" t="str">
        <f t="shared" si="1"/>
        <v xml:space="preserve"> </v>
      </c>
      <c r="C42" s="91" t="str">
        <f>IF(A42=" "," ",IF(A42="Totals",SUM($C$14:C41),+$B$8))</f>
        <v xml:space="preserve"> </v>
      </c>
      <c r="D42" s="91" t="str">
        <f>IF(A42=" "," ",IF(A42="Totals",SUM($D$14:D41),+B42*($D$8/100)))</f>
        <v xml:space="preserve"> </v>
      </c>
      <c r="E42" s="92" t="str">
        <f>IF(A42=" "," ",IF(A42="Totals",SUM($E$14:E41),+D42*($F$8/100)))</f>
        <v xml:space="preserve"> </v>
      </c>
      <c r="F42" s="91" t="str">
        <f>IF(A42=" "," ",IF(A42="Totals",SUM($F$14:F41),C42-D42))</f>
        <v xml:space="preserve"> </v>
      </c>
      <c r="G42" s="91" t="str">
        <f>IF(A42=" "," ",IF(A42="Totals",SUM($G$14:G41),+D42-E42+F42))</f>
        <v xml:space="preserve"> </v>
      </c>
    </row>
    <row r="43" spans="1:7" ht="15.75">
      <c r="A43" s="89" t="str">
        <f t="shared" si="0"/>
        <v xml:space="preserve"> </v>
      </c>
      <c r="B43" s="90" t="str">
        <f t="shared" si="1"/>
        <v xml:space="preserve"> </v>
      </c>
      <c r="C43" s="91" t="str">
        <f>IF(A43=" "," ",IF(A43="Totals",SUM($C$14:C42),+$B$8))</f>
        <v xml:space="preserve"> </v>
      </c>
      <c r="D43" s="91" t="str">
        <f>IF(A43=" "," ",IF(A43="Totals",SUM($D$14:D42),+B43*($D$8/100)))</f>
        <v xml:space="preserve"> </v>
      </c>
      <c r="E43" s="92" t="str">
        <f>IF(A43=" "," ",IF(A43="Totals",SUM($E$14:E42),+D43*($F$8/100)))</f>
        <v xml:space="preserve"> </v>
      </c>
      <c r="F43" s="91" t="str">
        <f>IF(A43=" "," ",IF(A43="Totals",SUM($F$14:F42),C43-D43))</f>
        <v xml:space="preserve"> </v>
      </c>
      <c r="G43" s="91" t="str">
        <f>IF(A43=" "," ",IF(A43="Totals",SUM($G$14:G42),+D43-E43+F43))</f>
        <v xml:space="preserve"> </v>
      </c>
    </row>
    <row r="44" spans="1:7" ht="15.75">
      <c r="A44" s="89" t="str">
        <f t="shared" si="0"/>
        <v xml:space="preserve"> </v>
      </c>
      <c r="B44" s="90" t="str">
        <f t="shared" si="1"/>
        <v xml:space="preserve"> </v>
      </c>
      <c r="C44" s="91" t="str">
        <f>IF(A44=" "," ",IF(A44="Totals",SUM($C$14:C43),+$B$8))</f>
        <v xml:space="preserve"> </v>
      </c>
      <c r="D44" s="91" t="str">
        <f>IF(A44=" "," ",IF(A44="Totals",SUM($D$14:D43),+B44*($D$8/100)))</f>
        <v xml:space="preserve"> </v>
      </c>
      <c r="E44" s="92" t="str">
        <f>IF(A44=" "," ",IF(A44="Totals",SUM($E$14:E43),+D44*($F$8/100)))</f>
        <v xml:space="preserve"> </v>
      </c>
      <c r="F44" s="91" t="str">
        <f>IF(A44=" "," ",IF(A44="Totals",SUM($F$14:F43),C44-D44))</f>
        <v xml:space="preserve"> </v>
      </c>
      <c r="G44" s="91" t="str">
        <f>IF(A44=" "," ",IF(A44="Totals",SUM($G$14:G43),+D44-E44+F44))</f>
        <v xml:space="preserve"> </v>
      </c>
    </row>
    <row r="45" spans="1:7" ht="15.75">
      <c r="A45" s="89" t="str">
        <f t="shared" si="0"/>
        <v xml:space="preserve"> </v>
      </c>
      <c r="B45" s="90" t="str">
        <f t="shared" si="1"/>
        <v xml:space="preserve"> </v>
      </c>
      <c r="C45" s="91" t="str">
        <f>IF(A45=" "," ",IF(A45="Totals",SUM($C$14:C44),+$B$8))</f>
        <v xml:space="preserve"> </v>
      </c>
      <c r="D45" s="91" t="str">
        <f>IF(A45=" "," ",IF(A45="Totals",SUM($D$14:D44),+B45*($D$8/100)))</f>
        <v xml:space="preserve"> </v>
      </c>
      <c r="E45" s="92" t="str">
        <f>IF(A45=" "," ",IF(A45="Totals",SUM($E$14:E44),+D45*($F$8/100)))</f>
        <v xml:space="preserve"> </v>
      </c>
      <c r="F45" s="91" t="str">
        <f>IF(A45=" "," ",IF(A45="Totals",SUM($F$14:F44),C45-D45))</f>
        <v xml:space="preserve"> </v>
      </c>
      <c r="G45" s="91" t="str">
        <f>IF(A45=" "," ",IF(A45="Totals",SUM($G$14:G44),+D45-E45+F45))</f>
        <v xml:space="preserve"> </v>
      </c>
    </row>
    <row r="46" spans="1:7" ht="15.75">
      <c r="A46" s="89" t="str">
        <f t="shared" si="0"/>
        <v xml:space="preserve"> </v>
      </c>
      <c r="B46" s="90" t="str">
        <f t="shared" si="1"/>
        <v xml:space="preserve"> </v>
      </c>
      <c r="C46" s="91" t="str">
        <f>IF(A46=" "," ",IF(A46="Totals",SUM($C$14:C45),+$B$8))</f>
        <v xml:space="preserve"> </v>
      </c>
      <c r="D46" s="91" t="str">
        <f>IF(A46=" "," ",IF(A46="Totals",SUM($D$14:D45),+B46*($D$8/100)))</f>
        <v xml:space="preserve"> </v>
      </c>
      <c r="E46" s="92" t="str">
        <f>IF(A46=" "," ",IF(A46="Totals",SUM($E$14:E45),+D46*($F$8/100)))</f>
        <v xml:space="preserve"> </v>
      </c>
      <c r="F46" s="91" t="str">
        <f>IF(A46=" "," ",IF(A46="Totals",SUM($F$14:F45),C46-D46))</f>
        <v xml:space="preserve"> </v>
      </c>
      <c r="G46" s="91" t="str">
        <f>IF(A46=" "," ",IF(A46="Totals",SUM($G$14:G45),+D46-E46+F46))</f>
        <v xml:space="preserve"> </v>
      </c>
    </row>
    <row r="47" spans="1:7" ht="15.75">
      <c r="A47" s="89" t="str">
        <f t="shared" si="0"/>
        <v xml:space="preserve"> </v>
      </c>
      <c r="B47" s="90" t="str">
        <f t="shared" si="1"/>
        <v xml:space="preserve"> </v>
      </c>
      <c r="C47" s="91" t="str">
        <f>IF(A47=" "," ",IF(A47="Totals",SUM($C$14:C46),+$B$8))</f>
        <v xml:space="preserve"> </v>
      </c>
      <c r="D47" s="91" t="str">
        <f>IF(A47=" "," ",IF(A47="Totals",SUM($D$14:D46),+B47*($D$8/100)))</f>
        <v xml:space="preserve"> </v>
      </c>
      <c r="E47" s="92" t="str">
        <f>IF(A47=" "," ",IF(A47="Totals",SUM($E$14:E46),+D47*($F$8/100)))</f>
        <v xml:space="preserve"> </v>
      </c>
      <c r="F47" s="91" t="str">
        <f>IF(A47=" "," ",IF(A47="Totals",SUM($F$14:F46),C47-D47))</f>
        <v xml:space="preserve"> </v>
      </c>
      <c r="G47" s="91" t="str">
        <f>IF(A47=" "," ",IF(A47="Totals",SUM($G$14:G46),+D47-E47+F47))</f>
        <v xml:space="preserve"> </v>
      </c>
    </row>
    <row r="48" spans="1:7" ht="15.75">
      <c r="A48" s="89" t="str">
        <f t="shared" si="0"/>
        <v xml:space="preserve"> </v>
      </c>
      <c r="B48" s="90" t="str">
        <f t="shared" si="1"/>
        <v xml:space="preserve"> </v>
      </c>
      <c r="C48" s="91" t="str">
        <f>IF(A48=" "," ",IF(A48="Totals",SUM($C$14:C47),+$B$8))</f>
        <v xml:space="preserve"> </v>
      </c>
      <c r="D48" s="91" t="str">
        <f>IF(A48=" "," ",IF(A48="Totals",SUM($D$14:D47),+B48*($D$8/100)))</f>
        <v xml:space="preserve"> </v>
      </c>
      <c r="E48" s="92" t="str">
        <f>IF(A48=" "," ",IF(A48="Totals",SUM($E$14:E47),+D48*($F$8/100)))</f>
        <v xml:space="preserve"> </v>
      </c>
      <c r="F48" s="91" t="str">
        <f>IF(A48=" "," ",IF(A48="Totals",SUM($F$14:F47),C48-D48))</f>
        <v xml:space="preserve"> </v>
      </c>
      <c r="G48" s="91" t="str">
        <f>IF(A48=" "," ",IF(A48="Totals",SUM($G$14:G47),+D48-E48+F48))</f>
        <v xml:space="preserve"> </v>
      </c>
    </row>
    <row r="49" spans="1:7" ht="15.75">
      <c r="A49" s="89" t="str">
        <f t="shared" si="0"/>
        <v xml:space="preserve"> </v>
      </c>
      <c r="B49" s="90" t="str">
        <f t="shared" si="1"/>
        <v xml:space="preserve"> </v>
      </c>
      <c r="C49" s="91" t="str">
        <f>IF(A49=" "," ",IF(A49="Totals",SUM($C$14:C48),+$B$8))</f>
        <v xml:space="preserve"> </v>
      </c>
      <c r="D49" s="91" t="str">
        <f>IF(A49=" "," ",IF(A49="Totals",SUM($D$14:D48),+B49*($D$8/100)))</f>
        <v xml:space="preserve"> </v>
      </c>
      <c r="E49" s="92" t="str">
        <f>IF(A49=" "," ",IF(A49="Totals",SUM($E$14:E48),+D49*($F$8/100)))</f>
        <v xml:space="preserve"> </v>
      </c>
      <c r="F49" s="91" t="str">
        <f>IF(A49=" "," ",IF(A49="Totals",SUM($F$14:F48),C49-D49))</f>
        <v xml:space="preserve"> </v>
      </c>
      <c r="G49" s="91" t="str">
        <f>IF(A49=" "," ",IF(A49="Totals",SUM($G$14:G48),+D49-E49+F49))</f>
        <v xml:space="preserve"> </v>
      </c>
    </row>
    <row r="50" spans="1:7" ht="15.75">
      <c r="A50" s="89" t="str">
        <f t="shared" si="0"/>
        <v xml:space="preserve"> </v>
      </c>
      <c r="B50" s="90" t="str">
        <f t="shared" si="1"/>
        <v xml:space="preserve"> </v>
      </c>
      <c r="C50" s="91" t="str">
        <f>IF(A50=" "," ",IF(A50="Totals",SUM($C$14:C49),+$B$8))</f>
        <v xml:space="preserve"> </v>
      </c>
      <c r="D50" s="91" t="str">
        <f>IF(A50=" "," ",IF(A50="Totals",SUM($D$14:D49),+B50*($D$8/100)))</f>
        <v xml:space="preserve"> </v>
      </c>
      <c r="E50" s="92" t="str">
        <f>IF(A50=" "," ",IF(A50="Totals",SUM($E$14:E49),+D50*($F$8/100)))</f>
        <v xml:space="preserve"> </v>
      </c>
      <c r="F50" s="91" t="str">
        <f>IF(A50=" "," ",IF(A50="Totals",SUM($F$14:F49),C50-D50))</f>
        <v xml:space="preserve"> </v>
      </c>
      <c r="G50" s="91" t="str">
        <f>IF(A50=" "," ",IF(A50="Totals",SUM($G$14:G49),+D50-E50+F50))</f>
        <v xml:space="preserve"> </v>
      </c>
    </row>
    <row r="51" spans="1:7" ht="15.75">
      <c r="A51" s="89" t="str">
        <f t="shared" si="0"/>
        <v xml:space="preserve"> </v>
      </c>
      <c r="B51" s="90" t="str">
        <f t="shared" si="1"/>
        <v xml:space="preserve"> </v>
      </c>
      <c r="C51" s="91" t="str">
        <f>IF(A51=" "," ",IF(A51="Totals",SUM($C$14:C50),+$B$8))</f>
        <v xml:space="preserve"> </v>
      </c>
      <c r="D51" s="91" t="str">
        <f>IF(A51=" "," ",IF(A51="Totals",SUM($D$14:D50),+B51*($D$8/100)))</f>
        <v xml:space="preserve"> </v>
      </c>
      <c r="E51" s="92" t="str">
        <f>IF(A51=" "," ",IF(A51="Totals",SUM($E$14:E50),+D51*($F$8/100)))</f>
        <v xml:space="preserve"> </v>
      </c>
      <c r="F51" s="91" t="str">
        <f>IF(A51=" "," ",IF(A51="Totals",SUM($F$14:F50),C51-D51))</f>
        <v xml:space="preserve"> </v>
      </c>
      <c r="G51" s="91" t="str">
        <f>IF(A51=" "," ",IF(A51="Totals",SUM($G$14:G50),+D51-E51+F51))</f>
        <v xml:space="preserve"> </v>
      </c>
    </row>
    <row r="52" spans="1:7" ht="15.75">
      <c r="A52" s="89" t="str">
        <f t="shared" si="0"/>
        <v xml:space="preserve"> </v>
      </c>
      <c r="B52" s="90" t="str">
        <f t="shared" si="1"/>
        <v xml:space="preserve"> </v>
      </c>
      <c r="C52" s="91" t="str">
        <f>IF(A52=" "," ",IF(A52="Totals",SUM($C$14:C51),+$B$8))</f>
        <v xml:space="preserve"> </v>
      </c>
      <c r="D52" s="91" t="str">
        <f>IF(A52=" "," ",IF(A52="Totals",SUM($D$14:D51),+B52*($D$8/100)))</f>
        <v xml:space="preserve"> </v>
      </c>
      <c r="E52" s="92" t="str">
        <f>IF(A52=" "," ",IF(A52="Totals",SUM($E$14:E51),+D52*($F$8/100)))</f>
        <v xml:space="preserve"> </v>
      </c>
      <c r="F52" s="91" t="str">
        <f>IF(A52=" "," ",IF(A52="Totals",SUM($F$14:F51),C52-D52))</f>
        <v xml:space="preserve"> </v>
      </c>
      <c r="G52" s="91" t="str">
        <f>IF(A52=" "," ",IF(A52="Totals",SUM($G$14:G51),+D52-E52+F52))</f>
        <v xml:space="preserve"> </v>
      </c>
    </row>
    <row r="53" spans="1:7" ht="15.75">
      <c r="A53" s="89" t="str">
        <f t="shared" si="0"/>
        <v xml:space="preserve"> </v>
      </c>
      <c r="B53" s="90" t="str">
        <f t="shared" si="1"/>
        <v xml:space="preserve"> </v>
      </c>
      <c r="C53" s="91" t="str">
        <f>IF(A53=" "," ",IF(A53="Totals",SUM($C$14:C52),+$B$8))</f>
        <v xml:space="preserve"> </v>
      </c>
      <c r="D53" s="91" t="str">
        <f>IF(A53=" "," ",IF(A53="Totals",SUM($D$14:D52),+B53*($D$8/100)))</f>
        <v xml:space="preserve"> </v>
      </c>
      <c r="E53" s="92" t="str">
        <f>IF(A53=" "," ",IF(A53="Totals",SUM($E$14:E52),+D53*($F$8/100)))</f>
        <v xml:space="preserve"> </v>
      </c>
      <c r="F53" s="91" t="str">
        <f>IF(A53=" "," ",IF(A53="Totals",SUM($F$14:F52),C53-D53))</f>
        <v xml:space="preserve"> </v>
      </c>
      <c r="G53" s="91" t="str">
        <f>IF(A53=" "," ",IF(A53="Totals",SUM($G$14:G52),+D53-E53+F53))</f>
        <v xml:space="preserve"> </v>
      </c>
    </row>
    <row r="54" spans="1:7" ht="15.75">
      <c r="A54" s="89" t="str">
        <f t="shared" si="0"/>
        <v xml:space="preserve"> </v>
      </c>
      <c r="B54" s="90" t="str">
        <f t="shared" si="1"/>
        <v xml:space="preserve"> </v>
      </c>
      <c r="C54" s="91" t="str">
        <f>IF(A54=" "," ",IF(A54="Totals",SUM($C$14:C53),+$B$8))</f>
        <v xml:space="preserve"> </v>
      </c>
      <c r="D54" s="91" t="str">
        <f>IF(A54=" "," ",IF(A54="Totals",SUM($D$14:D53),+B54*($D$8/100)))</f>
        <v xml:space="preserve"> </v>
      </c>
      <c r="E54" s="92" t="str">
        <f>IF(A54=" "," ",IF(A54="Totals",SUM($E$14:E53),+D54*($F$8/100)))</f>
        <v xml:space="preserve"> </v>
      </c>
      <c r="F54" s="91" t="str">
        <f>IF(A54=" "," ",IF(A54="Totals",SUM($F$14:F53),C54-D54))</f>
        <v xml:space="preserve"> </v>
      </c>
      <c r="G54" s="91" t="str">
        <f>IF(A54=" "," ",IF(A54="Totals",SUM($G$14:G53),+D54-E54+F54))</f>
        <v xml:space="preserve"> </v>
      </c>
    </row>
  </sheetData>
  <phoneticPr fontId="0" type="noConversion"/>
  <printOptions horizontalCentered="1"/>
  <pageMargins left="0.5" right="0.5" top="0.5" bottom="0.5" header="0.5" footer="0.5"/>
  <pageSetup scale="84" orientation="portrait" r:id="rId1"/>
  <headerFooter alignWithMargins="0">
    <oddFooter>&amp;L&amp;8&amp;D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V95"/>
  <sheetViews>
    <sheetView defaultGridColor="0" colorId="23" zoomScale="77" workbookViewId="0">
      <selection activeCell="H50" sqref="H50"/>
    </sheetView>
  </sheetViews>
  <sheetFormatPr defaultColWidth="9.77734375" defaultRowHeight="15"/>
  <cols>
    <col min="1" max="1" width="5.77734375" customWidth="1"/>
    <col min="2" max="2" width="10.77734375" style="49" customWidth="1"/>
    <col min="3" max="3" width="9.77734375" style="7" customWidth="1"/>
    <col min="4" max="4" width="10.77734375" style="7" customWidth="1"/>
    <col min="5" max="6" width="9.77734375" style="7"/>
    <col min="8" max="8" width="9.77734375" style="2"/>
  </cols>
  <sheetData>
    <row r="1" spans="1:256" ht="40.5">
      <c r="A1" s="168" t="s">
        <v>40</v>
      </c>
      <c r="B1" s="169"/>
      <c r="C1" s="154"/>
      <c r="D1" s="168"/>
      <c r="E1" s="147"/>
      <c r="F1" s="168"/>
      <c r="G1" s="168"/>
      <c r="H1" s="16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ht="23.25">
      <c r="A2" s="51"/>
      <c r="B2" s="52"/>
      <c r="C2" s="41"/>
      <c r="D2" s="52"/>
      <c r="E2" s="41"/>
      <c r="F2" s="41"/>
      <c r="G2" s="41"/>
      <c r="H2" s="52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>
      <c r="A3" s="50"/>
      <c r="B3" s="1"/>
      <c r="C3" s="42" t="s">
        <v>41</v>
      </c>
      <c r="D3" s="1"/>
      <c r="E3" s="42" t="s">
        <v>42</v>
      </c>
      <c r="F3" s="1"/>
      <c r="G3" s="42" t="s">
        <v>43</v>
      </c>
      <c r="H3" s="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</row>
    <row r="4" spans="1:256">
      <c r="B4"/>
      <c r="C4" s="99">
        <v>250000</v>
      </c>
      <c r="D4"/>
      <c r="E4" s="100">
        <v>4</v>
      </c>
      <c r="F4"/>
      <c r="G4" s="143">
        <v>30</v>
      </c>
      <c r="H4"/>
    </row>
    <row r="5" spans="1:256">
      <c r="B5" s="34"/>
      <c r="C5"/>
      <c r="D5"/>
      <c r="E5"/>
      <c r="F5"/>
      <c r="H5"/>
    </row>
    <row r="6" spans="1:256">
      <c r="B6" s="32"/>
      <c r="C6" s="33" t="s">
        <v>44</v>
      </c>
      <c r="D6"/>
      <c r="E6" s="42" t="s">
        <v>45</v>
      </c>
      <c r="F6"/>
      <c r="G6" s="42" t="s">
        <v>6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>
      <c r="B7" s="34"/>
      <c r="C7" s="97">
        <f>IF($C$4=0," ",PMT(($E$4/100)/12,$G$4*12,-$C$4,0))</f>
        <v>1193.5382386636488</v>
      </c>
      <c r="D7"/>
      <c r="E7" s="99">
        <v>0</v>
      </c>
      <c r="F7"/>
      <c r="G7" s="100">
        <v>32</v>
      </c>
      <c r="H7"/>
    </row>
    <row r="8" spans="1:256" ht="23.25">
      <c r="A8" s="30"/>
      <c r="B8" s="43"/>
      <c r="C8" s="44"/>
      <c r="D8" s="45"/>
      <c r="E8" s="44"/>
      <c r="F8" s="44"/>
      <c r="G8" s="4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ht="18.75">
      <c r="A9" s="36" t="s">
        <v>20</v>
      </c>
      <c r="B9" s="46" t="s">
        <v>36</v>
      </c>
      <c r="C9" s="47" t="s">
        <v>46</v>
      </c>
      <c r="D9" s="47" t="s">
        <v>47</v>
      </c>
      <c r="E9" s="46" t="s">
        <v>48</v>
      </c>
      <c r="F9" s="46" t="s">
        <v>49</v>
      </c>
      <c r="G9" s="46" t="s">
        <v>50</v>
      </c>
      <c r="H9" s="46" t="s">
        <v>51</v>
      </c>
      <c r="I9" s="46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ht="15.75">
      <c r="A10" s="48">
        <f>IF($G$4=0," ",1)</f>
        <v>1</v>
      </c>
      <c r="B10" s="92">
        <f>IF(A10=" "," ",+C4)</f>
        <v>250000</v>
      </c>
      <c r="C10" s="92">
        <f>IF(A10=" "," ",IF(A10="totals",SUM($C9:C$10),$C$7*12))</f>
        <v>14322.458863963786</v>
      </c>
      <c r="D10" s="92">
        <f>IF($A10=" "," ",IF($A10="totals",SUM($D9:$D10),$E$7*12))</f>
        <v>0</v>
      </c>
      <c r="E10" s="92">
        <f>IF($A10=" "," ",IF($A10="Totals",SUM($E$9:$E9),$C10+$D10))</f>
        <v>14322.458863963786</v>
      </c>
      <c r="F10" s="98">
        <f>IF($A10=" "," ",IF($A10="totals",SUM($F$9:$F9),$B10-$B11))</f>
        <v>4402.5910831302754</v>
      </c>
      <c r="G10" s="92">
        <f>IF($A10=" "," ",IF($A10="totals",SUM(G9:$G$9),$E10-$F10))</f>
        <v>9919.8677808335106</v>
      </c>
      <c r="H10" s="27">
        <f>IF(A10=" "," ",IF(A10="totals",SUM($H$9:$H9),+G10*($G$7/100)))</f>
        <v>3174.3576898667234</v>
      </c>
      <c r="I10" s="27"/>
    </row>
    <row r="11" spans="1:256" ht="15.75">
      <c r="A11" s="48">
        <f>IF(A10=" "," ",IF(A10="Totals"," ",IF(A10=$G$4,"Totals",IF(A10&gt;$G$4-1,$G$4,A10+1))))</f>
        <v>2</v>
      </c>
      <c r="B11" s="92">
        <f t="shared" ref="B11:B26" si="0">IF(A11=" "," ",FV($E$4/100/12,(A10-A9)*12,$E$10/12,-B10))</f>
        <v>245597.40891686972</v>
      </c>
      <c r="C11" s="92">
        <f>IF(A11=" "," ",IF(A11="totals",SUM($C$10:C10),($C$7*12)*(A11-A10)))</f>
        <v>14322.458863963786</v>
      </c>
      <c r="D11" s="92">
        <f>IF(A11=" "," ",IF(A11="totals",SUM($D$10:D10),$E$7*12))</f>
        <v>0</v>
      </c>
      <c r="E11" s="92">
        <f>IF($A11=" "," ",IF($A11="Totals",SUM($E$9:$E10),$C11+$D11))</f>
        <v>14322.458863963786</v>
      </c>
      <c r="F11" s="98">
        <f>IF($A11=" "," ",IF($A11="totals",SUM($F$9:$F10),$B11-$B12))</f>
        <v>4581.9594367019308</v>
      </c>
      <c r="G11" s="92">
        <f>IF($A11=" "," ",IF($A11="totals",SUM($G$10),IF($A10="Totals"," ",$E11-$F11)))</f>
        <v>9740.4994272618551</v>
      </c>
      <c r="H11" s="27">
        <f>IF(A11=" "," ",IF(A11="totals",SUM($H$9:$H10),+G11*($G$7/100)))</f>
        <v>3116.9598167237937</v>
      </c>
    </row>
    <row r="12" spans="1:256" ht="15.75">
      <c r="A12" s="48">
        <f t="shared" ref="A12:A27" si="1">IF(A11=" "," ",IF(A11="Totals"," ",IF(A11=$G$4,"Totals",IF(A11&gt;$G$4-1,$G$4,A11+1))))</f>
        <v>3</v>
      </c>
      <c r="B12" s="92">
        <f t="shared" si="0"/>
        <v>241015.44948016779</v>
      </c>
      <c r="C12" s="92">
        <f>IF(A12=" "," ",IF(A12="totals",SUM($C$10:C11),($C$7*12)*(A12-A11)))</f>
        <v>14322.458863963786</v>
      </c>
      <c r="D12" s="92">
        <f>IF(A12=" "," ",IF(A12="totals",SUM($D$10:D11),$E$7*12))</f>
        <v>0</v>
      </c>
      <c r="E12" s="92">
        <f>IF($A12=" "," ",IF($A12="Totals",SUM($E$9:$E11),$C12+$D12))</f>
        <v>14322.458863963786</v>
      </c>
      <c r="F12" s="98">
        <f>IF($A12=" "," ",IF($A12="totals",SUM($F$9:$F11),$B12-$B13))</f>
        <v>4768.6355337490386</v>
      </c>
      <c r="G12" s="92">
        <f t="shared" ref="G12:G27" si="2">IF($A12=" "," ",IF($A12="totals",SUM($G$10),IF($A11="Totals"," ",$E12-$F12)))</f>
        <v>9553.8233302147473</v>
      </c>
      <c r="H12" s="27">
        <f>IF(A12=" "," ",IF(A12="totals",SUM($H$9:$H11),+G12*($G$7/100)))</f>
        <v>3057.2234656687192</v>
      </c>
    </row>
    <row r="13" spans="1:256" ht="15.75">
      <c r="A13" s="48">
        <f t="shared" si="1"/>
        <v>4</v>
      </c>
      <c r="B13" s="92">
        <f t="shared" si="0"/>
        <v>236246.81394641876</v>
      </c>
      <c r="C13" s="92">
        <f>IF(A13=" "," ",IF(A13="totals",SUM($C$10:C12),($C$7*12)*(A13-A12)))</f>
        <v>14322.458863963786</v>
      </c>
      <c r="D13" s="92">
        <f>IF(A13=" "," ",IF(A13="totals",SUM($D$10:D12),$E$7*12))</f>
        <v>0</v>
      </c>
      <c r="E13" s="92">
        <f>IF($A13=" "," ",IF($A13="Totals",SUM($E$9:$E12),$C13+$D13))</f>
        <v>14322.458863963786</v>
      </c>
      <c r="F13" s="98">
        <f>IF($A13=" "," ",IF($A13="totals",SUM($F$9:$F12),$B13-$B14))</f>
        <v>4962.9171030161378</v>
      </c>
      <c r="G13" s="92">
        <f t="shared" si="2"/>
        <v>9359.5417609476481</v>
      </c>
      <c r="H13" s="27">
        <f>IF(A13=" "," ",IF(A13="totals",SUM($H$9:$H12),+G13*($G$7/100)))</f>
        <v>2995.0533635032475</v>
      </c>
    </row>
    <row r="14" spans="1:256" ht="15.75">
      <c r="A14" s="48">
        <f t="shared" si="1"/>
        <v>5</v>
      </c>
      <c r="B14" s="92">
        <f t="shared" si="0"/>
        <v>231283.89684340262</v>
      </c>
      <c r="C14" s="92">
        <f>IF(A14=" "," ",IF(A14="totals",SUM($C$10:C13),($C$7*12)*(A14-A13)))</f>
        <v>14322.458863963786</v>
      </c>
      <c r="D14" s="92">
        <f>IF(A14=" "," ",IF(A14="totals",SUM($D$10:D13),$E$7*12))</f>
        <v>0</v>
      </c>
      <c r="E14" s="92">
        <f>IF($A14=" "," ",IF($A14="Totals",SUM($E$9:$E13),$C14+$D14))</f>
        <v>14322.458863963786</v>
      </c>
      <c r="F14" s="98">
        <f>IF($A14=" "," ",IF($A14="totals",SUM($F$9:$F13),$B14-$B15))</f>
        <v>5165.1140031760151</v>
      </c>
      <c r="G14" s="92">
        <f t="shared" si="2"/>
        <v>9157.3448607877708</v>
      </c>
      <c r="H14" s="27">
        <f>IF(A14=" "," ",IF(A14="totals",SUM($H$9:$H13),+G14*($G$7/100)))</f>
        <v>2930.3503554520867</v>
      </c>
    </row>
    <row r="15" spans="1:256" ht="15.75">
      <c r="A15" s="48">
        <f t="shared" si="1"/>
        <v>6</v>
      </c>
      <c r="B15" s="92">
        <f t="shared" si="0"/>
        <v>226118.7828402266</v>
      </c>
      <c r="C15" s="92">
        <f>IF(A15=" "," ",IF(A15="totals",SUM($C$10:C14),($C$7*12)*(A15-A14)))</f>
        <v>14322.458863963786</v>
      </c>
      <c r="D15" s="92">
        <f>IF(A15=" "," ",IF(A15="totals",SUM($D$10:D14),$E$7*12))</f>
        <v>0</v>
      </c>
      <c r="E15" s="92">
        <f>IF($A15=" "," ",IF($A15="Totals",SUM($E$9:$E14),$C15+$D15))</f>
        <v>14322.458863963786</v>
      </c>
      <c r="F15" s="98">
        <f>IF($A15=" "," ",IF($A15="totals",SUM($F$9:$F14),$B15-$B16))</f>
        <v>5375.5487170220295</v>
      </c>
      <c r="G15" s="92">
        <f t="shared" si="2"/>
        <v>8946.9101469417565</v>
      </c>
      <c r="H15" s="27">
        <f>IF(A15=" "," ",IF(A15="totals",SUM($H$9:$H14),+G15*($G$7/100)))</f>
        <v>2863.0112470213621</v>
      </c>
    </row>
    <row r="16" spans="1:256" ht="15.75">
      <c r="A16" s="48">
        <f t="shared" si="1"/>
        <v>7</v>
      </c>
      <c r="B16" s="92">
        <f t="shared" si="0"/>
        <v>220743.23412320457</v>
      </c>
      <c r="C16" s="92">
        <f>IF(A16=" "," ",IF(A16="totals",SUM($C$10:C15),($C$7*12)*(A16-A15)))</f>
        <v>14322.458863963786</v>
      </c>
      <c r="D16" s="92">
        <f>IF(A16=" "," ",IF(A16="totals",SUM($D$10:D15),$E$7*12))</f>
        <v>0</v>
      </c>
      <c r="E16" s="92">
        <f>IF($A16=" "," ",IF($A16="Totals",SUM($E$9:$E15),$C16+$D16))</f>
        <v>14322.458863963786</v>
      </c>
      <c r="F16" s="98">
        <f>IF($A16=" "," ",IF($A16="totals",SUM($F$9:$F15),$B16-$B17))</f>
        <v>5594.5568657940021</v>
      </c>
      <c r="G16" s="92">
        <f t="shared" si="2"/>
        <v>8727.9019981697838</v>
      </c>
      <c r="H16" s="27">
        <f>IF(A16=" "," ",IF(A16="totals",SUM($H$9:$H15),+G16*($G$7/100)))</f>
        <v>2792.928639414331</v>
      </c>
    </row>
    <row r="17" spans="1:8" ht="15.75">
      <c r="A17" s="48">
        <f t="shared" si="1"/>
        <v>8</v>
      </c>
      <c r="B17" s="92">
        <f t="shared" si="0"/>
        <v>215148.67725741057</v>
      </c>
      <c r="C17" s="92">
        <f>IF(A17=" "," ",IF(A17="totals",SUM($C$10:C16),($C$7*12)*(A17-A16)))</f>
        <v>14322.458863963786</v>
      </c>
      <c r="D17" s="92">
        <f>IF(A17=" "," ",IF(A17="totals",SUM($D$10:D16),$E$7*12))</f>
        <v>0</v>
      </c>
      <c r="E17" s="92">
        <f>IF($A17=" "," ",IF($A17="Totals",SUM($E$9:$E16),$C17+$D17))</f>
        <v>14322.458863963786</v>
      </c>
      <c r="F17" s="98">
        <f>IF($A17=" "," ",IF($A17="totals",SUM($F$9:$F16),$B17-$B18))</f>
        <v>5822.4877444589802</v>
      </c>
      <c r="G17" s="92">
        <f t="shared" si="2"/>
        <v>8499.9711195048058</v>
      </c>
      <c r="H17" s="27">
        <f>IF(A17=" "," ",IF(A17="totals",SUM($H$9:$H16),+G17*($G$7/100)))</f>
        <v>2719.9907582415381</v>
      </c>
    </row>
    <row r="18" spans="1:8" ht="15.75">
      <c r="A18" s="48">
        <f t="shared" si="1"/>
        <v>9</v>
      </c>
      <c r="B18" s="92">
        <f t="shared" si="0"/>
        <v>209326.18951295159</v>
      </c>
      <c r="C18" s="92">
        <f>IF(A18=" "," ",IF(A18="totals",SUM($C$10:C17),($C$7*12)*(A18-A17)))</f>
        <v>14322.458863963786</v>
      </c>
      <c r="D18" s="92">
        <f>IF(A18=" "," ",IF(A18="totals",SUM($D$10:D17),$E$7*12))</f>
        <v>0</v>
      </c>
      <c r="E18" s="92">
        <f>IF($A18=" "," ",IF($A18="Totals",SUM($E$9:$E17),$C18+$D18))</f>
        <v>14322.458863963786</v>
      </c>
      <c r="F18" s="98">
        <f>IF($A18=" "," ",IF($A18="totals",SUM($F$9:$F17),$B18-$B19))</f>
        <v>6059.7048787997919</v>
      </c>
      <c r="G18" s="92">
        <f t="shared" si="2"/>
        <v>8262.753985163994</v>
      </c>
      <c r="H18" s="27">
        <f>IF(A18=" "," ",IF(A18="totals",SUM($H$9:$H17),+G18*($G$7/100)))</f>
        <v>2644.081275252478</v>
      </c>
    </row>
    <row r="19" spans="1:8" ht="15.75">
      <c r="A19" s="48">
        <f t="shared" si="1"/>
        <v>10</v>
      </c>
      <c r="B19" s="92">
        <f t="shared" si="0"/>
        <v>203266.4846341518</v>
      </c>
      <c r="C19" s="92">
        <f>IF(A19=" "," ",IF(A19="totals",SUM($C$10:C18),($C$7*12)*(A19-A18)))</f>
        <v>14322.458863963786</v>
      </c>
      <c r="D19" s="92">
        <f>IF(A19=" "," ",IF(A19="totals",SUM($D$10:D18),$E$7*12))</f>
        <v>0</v>
      </c>
      <c r="E19" s="92">
        <f>IF($A19=" "," ",IF($A19="Totals",SUM($E$9:$E18),$C19+$D19))</f>
        <v>14322.458863963786</v>
      </c>
      <c r="F19" s="98">
        <f>IF($A19=" "," ",IF($A19="totals",SUM($F$9:$F18),$B19-$B20))</f>
        <v>6306.5866052006895</v>
      </c>
      <c r="G19" s="92">
        <f t="shared" si="2"/>
        <v>8015.8722587630964</v>
      </c>
      <c r="H19" s="27">
        <f>IF(A19=" "," ",IF(A19="totals",SUM($H$9:$H18),+G19*($G$7/100)))</f>
        <v>2565.0791228041908</v>
      </c>
    </row>
    <row r="20" spans="1:8" ht="15.75">
      <c r="A20" s="48">
        <f t="shared" si="1"/>
        <v>11</v>
      </c>
      <c r="B20" s="92">
        <f t="shared" si="0"/>
        <v>196959.89802895111</v>
      </c>
      <c r="C20" s="92">
        <f>IF(A20=" "," ",IF(A20="totals",SUM($C$10:C19),($C$7*12)*(A20-A19)))</f>
        <v>14322.458863963786</v>
      </c>
      <c r="D20" s="92">
        <f>IF(A20=" "," ",IF(A20="totals",SUM($D$10:D19),$E$7*12))</f>
        <v>0</v>
      </c>
      <c r="E20" s="92">
        <f>IF($A20=" "," ",IF($A20="Totals",SUM($E$9:$E19),$C20+$D20))</f>
        <v>14322.458863963786</v>
      </c>
      <c r="F20" s="98">
        <f>IF($A20=" "," ",IF($A20="totals",SUM($F$9:$F19),$B20-$B21))</f>
        <v>6563.5266740538646</v>
      </c>
      <c r="G20" s="92">
        <f t="shared" si="2"/>
        <v>7758.9321899099214</v>
      </c>
      <c r="H20" s="27">
        <f>IF(A20=" "," ",IF(A20="totals",SUM($H$9:$H19),+G20*($G$7/100)))</f>
        <v>2482.858300771175</v>
      </c>
    </row>
    <row r="21" spans="1:8" ht="15.75">
      <c r="A21" s="48">
        <f t="shared" si="1"/>
        <v>12</v>
      </c>
      <c r="B21" s="92">
        <f t="shared" si="0"/>
        <v>190396.37135489724</v>
      </c>
      <c r="C21" s="92">
        <f>IF(A21=" "," ",IF(A21="totals",SUM($C$10:C20),($C$7*12)*(A21-A20)))</f>
        <v>14322.458863963786</v>
      </c>
      <c r="D21" s="92">
        <f>IF(A21=" "," ",IF(A21="totals",SUM($D$10:D20),$E$7*12))</f>
        <v>0</v>
      </c>
      <c r="E21" s="92">
        <f>IF($A21=" "," ",IF($A21="Totals",SUM($E$9:$E20),$C21+$D21))</f>
        <v>14322.458863963786</v>
      </c>
      <c r="F21" s="98">
        <f>IF($A21=" "," ",IF($A21="totals",SUM($F$9:$F20),$B21-$B22))</f>
        <v>6830.9348777499981</v>
      </c>
      <c r="G21" s="92">
        <f t="shared" si="2"/>
        <v>7491.5239862137878</v>
      </c>
      <c r="H21" s="27">
        <f>IF(A21=" "," ",IF(A21="totals",SUM($H$9:$H20),+G21*($G$7/100)))</f>
        <v>2397.2876755884122</v>
      </c>
    </row>
    <row r="22" spans="1:8" ht="15.75">
      <c r="A22" s="48">
        <f t="shared" si="1"/>
        <v>13</v>
      </c>
      <c r="B22" s="92">
        <f t="shared" si="0"/>
        <v>183565.43647714725</v>
      </c>
      <c r="C22" s="92">
        <f>IF(A22=" "," ",IF(A22="totals",SUM($C$10:C21),($C$7*12)*(A22-A21)))</f>
        <v>14322.458863963786</v>
      </c>
      <c r="D22" s="92">
        <f>IF(A22=" "," ",IF(A22="totals",SUM($D$10:D21),$E$7*12))</f>
        <v>0</v>
      </c>
      <c r="E22" s="92">
        <f>IF($A22=" "," ",IF($A22="Totals",SUM($E$9:$E21),$C22+$D22))</f>
        <v>14322.458863963786</v>
      </c>
      <c r="F22" s="98">
        <f>IF($A22=" "," ",IF($A22="totals",SUM($F$9:$F21),$B22-$B23))</f>
        <v>7109.237704254163</v>
      </c>
      <c r="G22" s="92">
        <f>IF($A22=" "," ",IF($A22="totals",SUM($G$10:G21),IF($A21="Totals"," ",$E22-$F22)))</f>
        <v>7213.221159709623</v>
      </c>
      <c r="H22" s="27">
        <f>IF(A22=" "," ",IF(A22="totals",SUM($H$9:$H21),+G22*($G$7/100)))</f>
        <v>2308.2307711070794</v>
      </c>
    </row>
    <row r="23" spans="1:8" ht="15.75">
      <c r="A23" s="48">
        <f t="shared" si="1"/>
        <v>14</v>
      </c>
      <c r="B23" s="92">
        <f t="shared" si="0"/>
        <v>176456.19877289308</v>
      </c>
      <c r="C23" s="92">
        <f>IF(A23=" "," ",IF(A23="totals",SUM($C$10:C22),($C$7*12)*(A23-A22)))</f>
        <v>14322.458863963786</v>
      </c>
      <c r="D23" s="92">
        <f>IF(A23=" "," ",IF(A23="totals",SUM($D$10:D22),$E$7*12))</f>
        <v>0</v>
      </c>
      <c r="E23" s="92">
        <f>IF($A23=" "," ",IF($A23="Totals",SUM($E$9:$E22),$C23+$D23))</f>
        <v>14322.458863963786</v>
      </c>
      <c r="F23" s="98">
        <f>IF($A23=" "," ",IF($A23="totals",SUM($F$9:$F22),$B23-$B24))</f>
        <v>7398.8790173090238</v>
      </c>
      <c r="G23" s="92">
        <f>IF($A23=" "," ",IF($A23="totals",SUM($G$10:G22),IF($A22="Totals"," ",$E23-$F23)))</f>
        <v>6923.5798466547622</v>
      </c>
      <c r="H23" s="27">
        <f>IF(A23=" "," ",IF(A23="totals",SUM($H$9:$H22),+G23*($G$7/100)))</f>
        <v>2215.5455509295239</v>
      </c>
    </row>
    <row r="24" spans="1:8" ht="15.75">
      <c r="A24" s="48">
        <f t="shared" si="1"/>
        <v>15</v>
      </c>
      <c r="B24" s="92">
        <f t="shared" si="0"/>
        <v>169057.31975558406</v>
      </c>
      <c r="C24" s="92">
        <f>IF(A24=" "," ",IF(A24="totals",SUM($C$10:C23),($C$7*12)*(A24-A23)))</f>
        <v>14322.458863963786</v>
      </c>
      <c r="D24" s="92">
        <f>IF(A24=" "," ",IF(A24="totals",SUM($D$10:D23),$E$7*12))</f>
        <v>0</v>
      </c>
      <c r="E24" s="92">
        <f>IF($A24=" "," ",IF($A24="Totals",SUM($E$9:$E23),$C24+$D24))</f>
        <v>14322.458863963786</v>
      </c>
      <c r="F24" s="98">
        <f>IF($A24=" "," ",IF($A24="totals",SUM($F$9:$F23),$B24-$B25))</f>
        <v>7700.3207643510541</v>
      </c>
      <c r="G24" s="92">
        <f t="shared" si="2"/>
        <v>6622.1380996127318</v>
      </c>
      <c r="H24" s="27">
        <f>IF(A24=" "," ",IF(A24="totals",SUM($H$9:$H23),+G24*($G$7/100)))</f>
        <v>2119.0841918760743</v>
      </c>
    </row>
    <row r="25" spans="1:8" ht="15.75">
      <c r="A25" s="48">
        <f t="shared" si="1"/>
        <v>16</v>
      </c>
      <c r="B25" s="92">
        <f t="shared" si="0"/>
        <v>161356.99899123301</v>
      </c>
      <c r="C25" s="92">
        <f>IF(A25=" "," ",IF(A25="totals",SUM($C$10:C24),($C$7*12)*(A25-A24)))</f>
        <v>14322.458863963786</v>
      </c>
      <c r="D25" s="92">
        <f>IF(A25=" "," ",IF(A25="totals",SUM($D$10:D24),$E$7*12))</f>
        <v>0</v>
      </c>
      <c r="E25" s="92">
        <f>IF($A25=" "," ",IF($A25="Totals",SUM($E$9:$E24),$C25+$D25))</f>
        <v>14322.458863963786</v>
      </c>
      <c r="F25" s="98">
        <f>IF($A25=" "," ",IF($A25="totals",SUM($F$9:$F24),$B25-$B26))</f>
        <v>8014.043713268009</v>
      </c>
      <c r="G25" s="92">
        <f t="shared" si="2"/>
        <v>6308.4151506957769</v>
      </c>
      <c r="H25" s="27">
        <f>IF(A25=" "," ",IF(A25="totals",SUM($H$9:$H24),+G25*($G$7/100)))</f>
        <v>2018.6928482226488</v>
      </c>
    </row>
    <row r="26" spans="1:8" ht="15.75">
      <c r="A26" s="48">
        <f t="shared" si="1"/>
        <v>17</v>
      </c>
      <c r="B26" s="92">
        <f t="shared" si="0"/>
        <v>153342.955277965</v>
      </c>
      <c r="C26" s="92">
        <f>IF(A26=" "," ",IF(A26="totals",SUM($C$10:C25),($C$7*12)*(A26-A25)))</f>
        <v>14322.458863963786</v>
      </c>
      <c r="D26" s="92">
        <f>IF(A26=" "," ",IF(A26="totals",SUM($D$10:D25),$E$7*12))</f>
        <v>0</v>
      </c>
      <c r="E26" s="92">
        <f>IF($A26=" "," ",IF($A26="Totals",SUM($E$9:$E25),$C26+$D26))</f>
        <v>14322.458863963786</v>
      </c>
      <c r="F26" s="98">
        <f>IF($A26=" "," ",IF($A26="totals",SUM($F$9:$F25),$B26-$B27))</f>
        <v>8340.5482191732153</v>
      </c>
      <c r="G26" s="92">
        <f t="shared" si="2"/>
        <v>5981.9106447905706</v>
      </c>
      <c r="H26" s="27">
        <f>IF(A26=" "," ",IF(A26="totals",SUM($H$9:$H25),+G26*($G$7/100)))</f>
        <v>1914.2114063329827</v>
      </c>
    </row>
    <row r="27" spans="1:8" ht="15.75">
      <c r="A27" s="48">
        <f t="shared" si="1"/>
        <v>18</v>
      </c>
      <c r="B27" s="92">
        <f t="shared" ref="B27:B42" si="3">IF(A27=" "," ",FV($E$4/100/12,(A26-A25)*12,$E$10/12,-B26))</f>
        <v>145002.40705879178</v>
      </c>
      <c r="C27" s="92">
        <f>IF(A27=" "," ",IF(A27="totals",SUM($C$10:C26),($C$7*12)*(A27-A26)))</f>
        <v>14322.458863963786</v>
      </c>
      <c r="D27" s="92">
        <f>IF(A27=" "," ",IF(A27="totals",SUM($D$10:D26),$E$7*12))</f>
        <v>0</v>
      </c>
      <c r="E27" s="92">
        <f>IF($A27=" "," ",IF($A27="Totals",SUM($E$9:$E26),$C27+$D27))</f>
        <v>14322.458863963786</v>
      </c>
      <c r="F27" s="98">
        <f>IF($A27=" "," ",IF($A27="totals",SUM($F$9:$F26),$B27-$B28))</f>
        <v>8680.3550224192441</v>
      </c>
      <c r="G27" s="92">
        <f t="shared" si="2"/>
        <v>5642.1038415445419</v>
      </c>
      <c r="H27" s="27">
        <f>IF(A27=" "," ",IF(A27="totals",SUM($H$9:$H26),+G27*($G$7/100)))</f>
        <v>1805.4732292942535</v>
      </c>
    </row>
    <row r="28" spans="1:8" ht="15.75">
      <c r="A28" s="48">
        <f t="shared" ref="A28:A43" si="4">IF(A27=" "," ",IF(A27="Totals"," ",IF(A27=$G$4,"Totals",IF(A27&gt;$G$4-1,$G$4,A27+1))))</f>
        <v>19</v>
      </c>
      <c r="B28" s="92">
        <f t="shared" si="3"/>
        <v>136322.05203637254</v>
      </c>
      <c r="C28" s="92">
        <f>IF(A28=" "," ",IF(A28="totals",SUM($C$10:C27),($C$7*12)*(A28-A27)))</f>
        <v>14322.458863963786</v>
      </c>
      <c r="D28" s="92">
        <f>IF(A28=" "," ",IF(A28="totals",SUM($D$10:D27),$E$7*12))</f>
        <v>0</v>
      </c>
      <c r="E28" s="92">
        <f>IF($A28=" "," ",IF($A28="Totals",SUM($E$9:$E27),$C28+$D28))</f>
        <v>14322.458863963786</v>
      </c>
      <c r="F28" s="98">
        <f>IF($A28=" "," ",IF($A28="totals",SUM($F$9:$F27),$B28-$B29))</f>
        <v>9034.0060791241267</v>
      </c>
      <c r="G28" s="92">
        <f t="shared" ref="G28:G43" si="5">IF($A28=" "," ",IF($A28="totals",SUM($G$10),IF($A27="Totals"," ",$E28-$F28)))</f>
        <v>5288.4527848396592</v>
      </c>
      <c r="H28" s="27">
        <f>IF(A28=" "," ",IF(A28="totals",SUM($H$9:$H27),+G28*($G$7/100)))</f>
        <v>1692.304891148691</v>
      </c>
    </row>
    <row r="29" spans="1:8" ht="15.75">
      <c r="A29" s="48">
        <f t="shared" si="4"/>
        <v>20</v>
      </c>
      <c r="B29" s="92">
        <f t="shared" si="3"/>
        <v>127288.04595724841</v>
      </c>
      <c r="C29" s="92">
        <f>IF(A29=" "," ",IF(A29="totals",SUM($C$10:C28),($C$7*12)*(A29-A28)))</f>
        <v>14322.458863963786</v>
      </c>
      <c r="D29" s="92">
        <f>IF(A29=" "," ",IF(A29="totals",SUM($D$10:D28),$E$7*12))</f>
        <v>0</v>
      </c>
      <c r="E29" s="92">
        <f>IF($A29=" "," ",IF($A29="Totals",SUM($E$9:$E28),$C29+$D29))</f>
        <v>14322.458863963786</v>
      </c>
      <c r="F29" s="98">
        <f>IF($A29=" "," ",IF($A29="totals",SUM($F$9:$F28),$B29-$B30))</f>
        <v>9402.0654255344416</v>
      </c>
      <c r="G29" s="92">
        <f t="shared" si="5"/>
        <v>4920.3934384293443</v>
      </c>
      <c r="H29" s="27">
        <f>IF(A29=" "," ",IF(A29="totals",SUM($H$9:$H28),+G29*($G$7/100)))</f>
        <v>1574.5259002973903</v>
      </c>
    </row>
    <row r="30" spans="1:8" ht="15.75">
      <c r="A30" s="48">
        <f t="shared" si="4"/>
        <v>21</v>
      </c>
      <c r="B30" s="92">
        <f t="shared" si="3"/>
        <v>117885.98053171397</v>
      </c>
      <c r="C30" s="92">
        <f>IF(A30=" "," ",IF(A30="totals",SUM($C$10:C29),($C$7*12)*(A30-A29)))</f>
        <v>14322.458863963786</v>
      </c>
      <c r="D30" s="92">
        <f>IF(A30=" "," ",IF(A30="totals",SUM($D$10:D29),$E$7*12))</f>
        <v>0</v>
      </c>
      <c r="E30" s="92">
        <f>IF($A30=" "," ",IF($A30="Totals",SUM($E$9:$E29),$C30+$D30))</f>
        <v>14322.458863963786</v>
      </c>
      <c r="F30" s="98">
        <f>IF($A30=" "," ",IF($A30="totals",SUM($F$9:$F29),$B30-$B31))</f>
        <v>9785.1200776035257</v>
      </c>
      <c r="G30" s="92">
        <f t="shared" si="5"/>
        <v>4537.3387863602602</v>
      </c>
      <c r="H30" s="27">
        <f>IF(A30=" "," ",IF(A30="totals",SUM($H$9:$H29),+G30*($G$7/100)))</f>
        <v>1451.9484116352833</v>
      </c>
    </row>
    <row r="31" spans="1:8" ht="15.75">
      <c r="A31" s="48">
        <f t="shared" si="4"/>
        <v>22</v>
      </c>
      <c r="B31" s="92">
        <f t="shared" si="3"/>
        <v>108100.86045411044</v>
      </c>
      <c r="C31" s="92">
        <f>IF(A31=" "," ",IF(A31="totals",SUM($C$10:C30),($C$7*12)*(A31-A30)))</f>
        <v>14322.458863963786</v>
      </c>
      <c r="D31" s="92">
        <f>IF(A31=" "," ",IF(A31="totals",SUM($D$10:D30),$E$7*12))</f>
        <v>0</v>
      </c>
      <c r="E31" s="92">
        <f>IF($A31=" "," ",IF($A31="Totals",SUM($E$9:$E30),$C31+$D31))</f>
        <v>14322.458863963786</v>
      </c>
      <c r="F31" s="98">
        <f>IF($A31=" "," ",IF($A31="totals",SUM($F$9:$F30),$B31-$B32))</f>
        <v>10183.780967220519</v>
      </c>
      <c r="G31" s="92">
        <f t="shared" si="5"/>
        <v>4138.6778967432674</v>
      </c>
      <c r="H31" s="27">
        <f>IF(A31=" "," ",IF(A31="totals",SUM($H$9:$H30),+G31*($G$7/100)))</f>
        <v>1324.3769269578456</v>
      </c>
    </row>
    <row r="32" spans="1:8" ht="15.75">
      <c r="A32" s="48">
        <f t="shared" si="4"/>
        <v>23</v>
      </c>
      <c r="B32" s="92">
        <f t="shared" si="3"/>
        <v>97917.079486889925</v>
      </c>
      <c r="C32" s="92">
        <f>IF(A32=" "," ",IF(A32="totals",SUM($C$10:C31),($C$7*12)*(A32-A31)))</f>
        <v>14322.458863963786</v>
      </c>
      <c r="D32" s="92">
        <f>IF(A32=" "," ",IF(A32="totals",SUM($D$10:D31),$E$7*12))</f>
        <v>0</v>
      </c>
      <c r="E32" s="92">
        <f>IF($A32=" "," ",IF($A32="Totals",SUM($E$9:$E31),$C32+$D32))</f>
        <v>14322.458863963786</v>
      </c>
      <c r="F32" s="98">
        <f>IF($A32=" "," ",IF($A32="totals",SUM($F$9:$F31),$B32-$B33))</f>
        <v>10598.683916582275</v>
      </c>
      <c r="G32" s="92">
        <f t="shared" si="5"/>
        <v>3723.7749473815111</v>
      </c>
      <c r="H32" s="27">
        <f>IF(A32=" "," ",IF(A32="totals",SUM($H$9:$H31),+G32*($G$7/100)))</f>
        <v>1191.6079831620837</v>
      </c>
    </row>
    <row r="33" spans="1:8" ht="15.75">
      <c r="A33" s="48">
        <f t="shared" si="4"/>
        <v>24</v>
      </c>
      <c r="B33" s="92">
        <f t="shared" si="3"/>
        <v>87318.39557030765</v>
      </c>
      <c r="C33" s="92">
        <f>IF(A33=" "," ",IF(A33="totals",SUM($C$10:C32),($C$7*12)*(A33-A32)))</f>
        <v>14322.458863963786</v>
      </c>
      <c r="D33" s="92">
        <f>IF(A33=" "," ",IF(A33="totals",SUM($D$10:D32),$E$7*12))</f>
        <v>0</v>
      </c>
      <c r="E33" s="92">
        <f>IF($A33=" "," ",IF($A33="Totals",SUM($E$9:$E32),$C33+$D33))</f>
        <v>14322.458863963786</v>
      </c>
      <c r="F33" s="98">
        <f>IF($A33=" "," ",IF($A33="totals",SUM($F$9:$F32),$B33-$B34))</f>
        <v>11030.490652263004</v>
      </c>
      <c r="G33" s="92">
        <f t="shared" si="5"/>
        <v>3291.9682117007815</v>
      </c>
      <c r="H33" s="27">
        <f>IF(A33=" "," ",IF(A33="totals",SUM($H$9:$H32),+G33*($G$7/100)))</f>
        <v>1053.4298277442501</v>
      </c>
    </row>
    <row r="34" spans="1:8" ht="15.75">
      <c r="A34" s="48">
        <f t="shared" si="4"/>
        <v>25</v>
      </c>
      <c r="B34" s="92">
        <f t="shared" si="3"/>
        <v>76287.904918044645</v>
      </c>
      <c r="C34" s="92">
        <f>IF(A34=" "," ",IF(A34="totals",SUM($C$10:C33),($C$7*12)*(A34-A33)))</f>
        <v>14322.458863963786</v>
      </c>
      <c r="D34" s="92">
        <f>IF(A34=" "," ",IF(A34="totals",SUM($D$10:D33),$E$7*12))</f>
        <v>0</v>
      </c>
      <c r="E34" s="92">
        <f>IF($A34=" "," ",IF($A34="Totals",SUM($E$9:$E33),$C34+$D34))</f>
        <v>14322.458863963786</v>
      </c>
      <c r="F34" s="98">
        <f>IF($A34=" "," ",IF($A34="totals",SUM($F$9:$F33),$B34-$B35))</f>
        <v>11479.889860598531</v>
      </c>
      <c r="G34" s="92">
        <f t="shared" si="5"/>
        <v>2842.5690033652554</v>
      </c>
      <c r="H34" s="27">
        <f>IF(A34=" "," ",IF(A34="totals",SUM($H$9:$H33),+G34*($G$7/100)))</f>
        <v>909.62208107688173</v>
      </c>
    </row>
    <row r="35" spans="1:8" ht="15.75">
      <c r="A35" s="48">
        <f t="shared" si="4"/>
        <v>26</v>
      </c>
      <c r="B35" s="92">
        <f t="shared" si="3"/>
        <v>64808.015057446115</v>
      </c>
      <c r="C35" s="92">
        <f>IF(A35=" "," ",IF(A35="totals",SUM($C$10:C34),($C$7*12)*(A35-A34)))</f>
        <v>14322.458863963786</v>
      </c>
      <c r="D35" s="92">
        <f>IF(A35=" "," ",IF(A35="totals",SUM($D$10:D34),$E$7*12))</f>
        <v>0</v>
      </c>
      <c r="E35" s="92">
        <f>IF($A35=" "," ",IF($A35="Totals",SUM($E$9:$E34),$C35+$D35))</f>
        <v>14322.458863963786</v>
      </c>
      <c r="F35" s="98">
        <f>IF($A35=" "," ",IF($A35="totals",SUM($F$9:$F34),$B35-$B36))</f>
        <v>11947.598286068576</v>
      </c>
      <c r="G35" s="92">
        <f t="shared" si="5"/>
        <v>2374.8605778952096</v>
      </c>
      <c r="H35" s="27">
        <f>IF(A35=" "," ",IF(A35="totals",SUM($H$9:$H34),+G35*($G$7/100)))</f>
        <v>759.9553849264671</v>
      </c>
    </row>
    <row r="36" spans="1:8" ht="15.75">
      <c r="A36" s="48">
        <f t="shared" si="4"/>
        <v>27</v>
      </c>
      <c r="B36" s="92">
        <f t="shared" si="3"/>
        <v>52860.416771377539</v>
      </c>
      <c r="C36" s="92">
        <f>IF(A36=" "," ",IF(A36="totals",SUM($C$10:C35),($C$7*12)*(A36-A35)))</f>
        <v>14322.458863963786</v>
      </c>
      <c r="D36" s="92">
        <f>IF(A36=" "," ",IF(A36="totals",SUM($D$10:D35),$E$7*12))</f>
        <v>0</v>
      </c>
      <c r="E36" s="92">
        <f>IF($A36=" "," ",IF($A36="Totals",SUM($E$9:$E35),$C36+$D36))</f>
        <v>14322.458863963786</v>
      </c>
      <c r="F36" s="98">
        <f>IF($A36=" "," ",IF($A36="totals",SUM($F$9:$F35),$B36-$B37))</f>
        <v>12434.361874428869</v>
      </c>
      <c r="G36" s="92">
        <f t="shared" si="5"/>
        <v>1888.0969895349172</v>
      </c>
      <c r="H36" s="27">
        <f>IF(A36=" "," ",IF(A36="totals",SUM($H$9:$H35),+G36*($G$7/100)))</f>
        <v>604.19103665117348</v>
      </c>
    </row>
    <row r="37" spans="1:8" ht="15.75">
      <c r="A37" s="48">
        <f t="shared" si="4"/>
        <v>28</v>
      </c>
      <c r="B37" s="92">
        <f t="shared" si="3"/>
        <v>40426.05489694867</v>
      </c>
      <c r="C37" s="92">
        <f>IF(A37=" "," ",IF(A37="totals",SUM($C$10:C36),($C$7*12)*(A37-A36)))</f>
        <v>14322.458863963786</v>
      </c>
      <c r="D37" s="92">
        <f>IF(A37=" "," ",IF(A37="totals",SUM($D$10:D36),$E$7*12))</f>
        <v>0</v>
      </c>
      <c r="E37" s="92">
        <f>IF($A37=" "," ",IF($A37="Totals",SUM($E$9:$E36),$C37+$D37))</f>
        <v>14322.458863963786</v>
      </c>
      <c r="F37" s="98">
        <f>IF($A37=" "," ",IF($A37="totals",SUM($F$9:$F36),$B37-$B38))</f>
        <v>12940.956962416119</v>
      </c>
      <c r="G37" s="92">
        <f t="shared" si="5"/>
        <v>1381.5019015476664</v>
      </c>
      <c r="H37" s="27">
        <f>IF(A37=" "," ",IF(A37="totals",SUM($H$9:$H36),+G37*($G$7/100)))</f>
        <v>442.08060849525327</v>
      </c>
    </row>
    <row r="38" spans="1:8" ht="15.75">
      <c r="A38" s="48">
        <f t="shared" si="4"/>
        <v>29</v>
      </c>
      <c r="B38" s="92">
        <f t="shared" si="3"/>
        <v>27485.09793453255</v>
      </c>
      <c r="C38" s="92">
        <f>IF(A38=" "," ",IF(A38="totals",SUM($C$10:C37),($C$7*12)*(A38-A37)))</f>
        <v>14322.458863963786</v>
      </c>
      <c r="D38" s="92">
        <f>IF(A38=" "," ",IF(A38="totals",SUM($D$10:D37),$E$7*12))</f>
        <v>0</v>
      </c>
      <c r="E38" s="92">
        <f>IF($A38=" "," ",IF($A38="Totals",SUM($E$9:$E37),$C38+$D38))</f>
        <v>14322.458863963786</v>
      </c>
      <c r="F38" s="98">
        <f>IF($A38=" "," ",IF($A38="totals",SUM($F$9:$F37),$B38-$B39))</f>
        <v>13468.191515923561</v>
      </c>
      <c r="G38" s="92">
        <f t="shared" si="5"/>
        <v>854.26734804022453</v>
      </c>
      <c r="H38" s="27">
        <f>IF(A38=" "," ",IF(A38="totals",SUM($H$9:$H37),+G38*($G$7/100)))</f>
        <v>273.36555137287183</v>
      </c>
    </row>
    <row r="39" spans="1:8" ht="15.75">
      <c r="A39" s="48">
        <f t="shared" si="4"/>
        <v>30</v>
      </c>
      <c r="B39" s="92">
        <f t="shared" si="3"/>
        <v>14016.906418608989</v>
      </c>
      <c r="C39" s="92">
        <f>IF(A39=" "," ",IF(A39="totals",SUM($C$10:C38),($C$7*12)*(A39-A38)))</f>
        <v>14322.458863963786</v>
      </c>
      <c r="D39" s="92">
        <f>IF(A39=" "," ",IF(A39="totals",SUM($D$10:D38),$E$7*12))</f>
        <v>0</v>
      </c>
      <c r="E39" s="92">
        <f>IF($A39=" "," ",IF($A39="Totals",SUM($E$9:$E38),$C39+$D39))</f>
        <v>14322.458863963786</v>
      </c>
      <c r="F39" s="98">
        <f>IF($A39=" "," ",IF($A39="totals",SUM($F$9:$F38),$B39-$B40))</f>
        <v>14016.906418621524</v>
      </c>
      <c r="G39" s="92">
        <f t="shared" si="5"/>
        <v>305.55244534226222</v>
      </c>
      <c r="H39" s="27">
        <f>IF(A39=" "," ",IF(A39="totals",SUM($H$9:$H38),+G39*($G$7/100)))</f>
        <v>97.776782509523912</v>
      </c>
    </row>
    <row r="40" spans="1:8" ht="15.75">
      <c r="A40" s="48" t="str">
        <f t="shared" si="4"/>
        <v>Totals</v>
      </c>
      <c r="B40" s="92">
        <f t="shared" si="3"/>
        <v>-1.2534655979834497E-8</v>
      </c>
      <c r="C40" s="92">
        <f>IF(A40=" "," ",IF(A40="totals",SUM($C$10:C39),($C$7*12)*(A40-A39)))</f>
        <v>429673.76591891347</v>
      </c>
      <c r="D40" s="92">
        <f>IF(A40=" "," ",IF(A40="totals",SUM($D$10:D39),$E$7*12))</f>
        <v>0</v>
      </c>
      <c r="E40" s="92">
        <f>IF($A40=" "," ",IF($A40="Totals",SUM($E$9:$E39),$C40+$D40))</f>
        <v>429673.76591891347</v>
      </c>
      <c r="F40" s="98">
        <f>IF($A40=" "," ",IF($A40="totals",SUM($F$9:$F39),$B40-$B41))</f>
        <v>250000.00000001251</v>
      </c>
      <c r="G40" s="92">
        <f>IF($A40=" "," ",IF($A40="totals",SUM($G$10:G39),IF($A39="Totals"," ",$E40-$F40)))</f>
        <v>179673.76591890102</v>
      </c>
      <c r="H40" s="27">
        <f>IF(A40=" "," ",IF(A40="totals",SUM($H$9:$H39),+G40*($G$7/100)))</f>
        <v>57495.60509404834</v>
      </c>
    </row>
    <row r="41" spans="1:8" ht="15.75">
      <c r="A41" s="48" t="str">
        <f t="shared" si="4"/>
        <v xml:space="preserve"> </v>
      </c>
      <c r="B41" s="92" t="str">
        <f t="shared" si="3"/>
        <v xml:space="preserve"> </v>
      </c>
      <c r="C41" s="92" t="str">
        <f>IF(A41=" "," ",IF(A41="totals",SUM($C$10:C40),($C$7*12)*(A41-A40)))</f>
        <v xml:space="preserve"> </v>
      </c>
      <c r="D41" s="92" t="str">
        <f>IF(A41=" "," ",IF(A41="totals",SUM($D$10:D40),$E$7*12))</f>
        <v xml:space="preserve"> </v>
      </c>
      <c r="E41" s="92" t="str">
        <f>IF($A41=" "," ",IF($A41="Totals",SUM($E$9:$E40),$C41+$D41))</f>
        <v xml:space="preserve"> </v>
      </c>
      <c r="F41" s="98" t="str">
        <f>IF($A41=" "," ",IF($A41="totals",SUM($F$9:$F40),$B41-$B42))</f>
        <v xml:space="preserve"> </v>
      </c>
      <c r="G41" s="92" t="str">
        <f t="shared" si="5"/>
        <v xml:space="preserve"> </v>
      </c>
      <c r="H41" s="27" t="str">
        <f>IF(A41=" "," ",IF(A41="totals",SUM($H$9:$H40),+G41*($G$7/100)))</f>
        <v xml:space="preserve"> </v>
      </c>
    </row>
    <row r="42" spans="1:8" ht="15.75">
      <c r="A42" s="48" t="str">
        <f t="shared" si="4"/>
        <v xml:space="preserve"> </v>
      </c>
      <c r="B42" s="92" t="str">
        <f t="shared" si="3"/>
        <v xml:space="preserve"> </v>
      </c>
      <c r="C42" s="92" t="str">
        <f>IF(A42=" "," ",IF(A42="totals",SUM($C$10:C41),($C$7*12)*(A42-A41)))</f>
        <v xml:space="preserve"> </v>
      </c>
      <c r="D42" s="92" t="str">
        <f>IF(A42=" "," ",IF(A42="totals",SUM($D$10:D41),$E$7*12))</f>
        <v xml:space="preserve"> </v>
      </c>
      <c r="E42" s="92" t="str">
        <f>IF($A42=" "," ",IF($A42="Totals",SUM($E$9:$E41),$C42+$D42))</f>
        <v xml:space="preserve"> </v>
      </c>
      <c r="F42" s="98" t="str">
        <f>IF($A42=" "," ",IF($A42="totals",SUM($F$9:$F41),$B42-$B43))</f>
        <v xml:space="preserve"> </v>
      </c>
      <c r="G42" s="92" t="str">
        <f t="shared" si="5"/>
        <v xml:space="preserve"> </v>
      </c>
      <c r="H42" s="27" t="str">
        <f>IF(A42=" "," ",IF(A42="totals",SUM($H$9:$H41),+G42*($G$7/100)))</f>
        <v xml:space="preserve"> </v>
      </c>
    </row>
    <row r="43" spans="1:8" ht="15.75">
      <c r="A43" s="48" t="str">
        <f t="shared" si="4"/>
        <v xml:space="preserve"> </v>
      </c>
      <c r="B43" s="92" t="str">
        <f t="shared" ref="B43:B58" si="6">IF(A43=" "," ",FV($E$4/100/12,(A42-A41)*12,$E$10/12,-B42))</f>
        <v xml:space="preserve"> </v>
      </c>
      <c r="C43" s="92" t="str">
        <f>IF(A43=" "," ",IF(A43="totals",SUM($C$10:C42),($C$7*12)*(A43-A42)))</f>
        <v xml:space="preserve"> </v>
      </c>
      <c r="D43" s="92" t="str">
        <f>IF(A43=" "," ",IF(A43="totals",SUM($D$10:D42),$E$7*12))</f>
        <v xml:space="preserve"> </v>
      </c>
      <c r="E43" s="92" t="str">
        <f>IF($A43=" "," ",IF($A43="Totals",SUM($E$9:$E42),$C43+$D43))</f>
        <v xml:space="preserve"> </v>
      </c>
      <c r="F43" s="98" t="str">
        <f>IF($A43=" "," ",IF($A43="totals",SUM($F$9:$F42),$B43-$B44))</f>
        <v xml:space="preserve"> </v>
      </c>
      <c r="G43" s="92" t="str">
        <f t="shared" si="5"/>
        <v xml:space="preserve"> </v>
      </c>
      <c r="H43" s="27" t="str">
        <f>IF(A43=" "," ",IF(A43="totals",SUM($H$9:$H42),+G43*($G$7/100)))</f>
        <v xml:space="preserve"> </v>
      </c>
    </row>
    <row r="44" spans="1:8" ht="15.75">
      <c r="A44" s="48" t="str">
        <f t="shared" ref="A44:A59" si="7">IF(A43=" "," ",IF(A43="Totals"," ",IF(A43=$G$4,"Totals",IF(A43&gt;$G$4-1,$G$4,A43+1))))</f>
        <v xml:space="preserve"> </v>
      </c>
      <c r="B44" s="92" t="str">
        <f t="shared" si="6"/>
        <v xml:space="preserve"> </v>
      </c>
      <c r="C44" s="92" t="str">
        <f>IF(A44=" "," ",IF(A44="totals",SUM($C$10:C43),($C$7*12)*(A44-A43)))</f>
        <v xml:space="preserve"> </v>
      </c>
      <c r="D44" s="92" t="str">
        <f>IF(A44=" "," ",IF(A44="totals",SUM($D$10:D43),$E$7*12))</f>
        <v xml:space="preserve"> </v>
      </c>
      <c r="E44" s="92" t="str">
        <f>IF($A44=" "," ",IF($A44="Totals",SUM($E$9:$E43),$C44+$D44))</f>
        <v xml:space="preserve"> </v>
      </c>
      <c r="F44" s="98" t="str">
        <f>IF($A44=" "," ",IF($A44="totals",SUM($F$9:$F43),$B44-$B45))</f>
        <v xml:space="preserve"> </v>
      </c>
      <c r="G44" s="92" t="str">
        <f t="shared" ref="G44:G60" si="8">IF($A44=" "," ",IF($A44="totals",SUM($G$10),IF($A43="Totals"," ",$E44-$F44)))</f>
        <v xml:space="preserve"> </v>
      </c>
      <c r="H44" s="27" t="str">
        <f>IF(A44=" "," ",IF(A44="totals",SUM($H$9:$H43),+G44*($G$7/100)))</f>
        <v xml:space="preserve"> </v>
      </c>
    </row>
    <row r="45" spans="1:8" ht="15.75">
      <c r="A45" s="48" t="str">
        <f t="shared" si="7"/>
        <v xml:space="preserve"> </v>
      </c>
      <c r="B45" s="92" t="str">
        <f t="shared" si="6"/>
        <v xml:space="preserve"> </v>
      </c>
      <c r="C45" s="92" t="str">
        <f>IF(A45=" "," ",IF(A45="totals",SUM($C$10:C44),($C$7*12)*(A45-A44)))</f>
        <v xml:space="preserve"> </v>
      </c>
      <c r="D45" s="92" t="str">
        <f>IF(A45=" "," ",IF(A45="totals",SUM($D$10:D44),$E$7*12))</f>
        <v xml:space="preserve"> </v>
      </c>
      <c r="E45" s="92" t="str">
        <f>IF($A45=" "," ",IF($A45="Totals",SUM($E$9:$E44),$C45+$D45))</f>
        <v xml:space="preserve"> </v>
      </c>
      <c r="F45" s="98" t="str">
        <f>IF($A45=" "," ",IF($A45="totals",SUM($F$9:$F44),$B45-$B46))</f>
        <v xml:space="preserve"> </v>
      </c>
      <c r="G45" s="92" t="str">
        <f t="shared" si="8"/>
        <v xml:space="preserve"> </v>
      </c>
      <c r="H45" s="27" t="str">
        <f>IF(A45=" "," ",IF(A45="totals",SUM($H$9:$H44),+G45*($G$7/100)))</f>
        <v xml:space="preserve"> </v>
      </c>
    </row>
    <row r="46" spans="1:8" ht="15.75">
      <c r="A46" s="48" t="str">
        <f t="shared" si="7"/>
        <v xml:space="preserve"> </v>
      </c>
      <c r="B46" s="92" t="str">
        <f t="shared" si="6"/>
        <v xml:space="preserve"> </v>
      </c>
      <c r="C46" s="92" t="str">
        <f>IF(A46=" "," ",IF(A46="totals",SUM($C$10:C45),($C$7*12)*(A46-A45)))</f>
        <v xml:space="preserve"> </v>
      </c>
      <c r="D46" s="92" t="str">
        <f>IF(A46=" "," ",IF(A46="totals",SUM($D$10:D45),$E$7*12))</f>
        <v xml:space="preserve"> </v>
      </c>
      <c r="E46" s="92" t="str">
        <f>IF($A46=" "," ",IF($A46="Totals",SUM($E$9:$E45),$C46+$D46))</f>
        <v xml:space="preserve"> </v>
      </c>
      <c r="F46" s="98" t="str">
        <f>IF($A46=" "," ",IF($A46="totals",SUM($F$9:$F45),$B46-$B47))</f>
        <v xml:space="preserve"> </v>
      </c>
      <c r="G46" s="92" t="str">
        <f t="shared" si="8"/>
        <v xml:space="preserve"> </v>
      </c>
      <c r="H46" s="27" t="str">
        <f>IF(A46=" "," ",IF(A46="totals",SUM($H$9:$H45),+G46*($G$7/100)))</f>
        <v xml:space="preserve"> </v>
      </c>
    </row>
    <row r="47" spans="1:8" ht="15.75">
      <c r="A47" s="48" t="str">
        <f t="shared" si="7"/>
        <v xml:space="preserve"> </v>
      </c>
      <c r="B47" s="92" t="str">
        <f t="shared" si="6"/>
        <v xml:space="preserve"> </v>
      </c>
      <c r="C47" s="92" t="str">
        <f>IF(A47=" "," ",IF(A47="totals",SUM($C$10:C46),($C$7*12)*(A47-A46)))</f>
        <v xml:space="preserve"> </v>
      </c>
      <c r="D47" s="92" t="str">
        <f>IF(A47=" "," ",IF(A47="totals",SUM($D$10:D46),$E$7*12))</f>
        <v xml:space="preserve"> </v>
      </c>
      <c r="E47" s="92" t="str">
        <f>IF($A47=" "," ",IF($A47="Totals",SUM($E$9:$E46),$C47+$D47))</f>
        <v xml:space="preserve"> </v>
      </c>
      <c r="F47" s="98" t="str">
        <f>IF($A47=" "," ",IF($A47="totals",SUM($F$9:$F46),$B47-$B48))</f>
        <v xml:space="preserve"> </v>
      </c>
      <c r="G47" s="92" t="str">
        <f t="shared" si="8"/>
        <v xml:space="preserve"> </v>
      </c>
      <c r="H47" s="27" t="str">
        <f>IF(A47=" "," ",IF(A47="totals",SUM($H$9:$H46),+G47*($G$7/100)))</f>
        <v xml:space="preserve"> </v>
      </c>
    </row>
    <row r="48" spans="1:8" ht="15.75">
      <c r="A48" s="48" t="str">
        <f t="shared" si="7"/>
        <v xml:space="preserve"> </v>
      </c>
      <c r="B48" s="92" t="str">
        <f t="shared" si="6"/>
        <v xml:space="preserve"> </v>
      </c>
      <c r="C48" s="92" t="str">
        <f>IF(A48=" "," ",IF(A48="totals",SUM($C$10:C47),($C$7*12)*(A48-A47)))</f>
        <v xml:space="preserve"> </v>
      </c>
      <c r="D48" s="92" t="str">
        <f>IF(A48=" "," ",IF(A48="totals",SUM($D$10:D47),$E$7*12))</f>
        <v xml:space="preserve"> </v>
      </c>
      <c r="E48" s="92" t="str">
        <f>IF($A48=" "," ",IF($A48="Totals",SUM($E$9:$E47),$C48+$D48))</f>
        <v xml:space="preserve"> </v>
      </c>
      <c r="F48" s="98" t="str">
        <f>IF($A48=" "," ",IF($A48="totals",SUM($F$9:$F47),$B48-$B49))</f>
        <v xml:space="preserve"> </v>
      </c>
      <c r="G48" s="92" t="str">
        <f t="shared" si="8"/>
        <v xml:space="preserve"> </v>
      </c>
      <c r="H48" s="27" t="str">
        <f>IF(A48=" "," ",IF(A48="totals",SUM($H$9:$H47),+G48*($G$7/100)))</f>
        <v xml:space="preserve"> </v>
      </c>
    </row>
    <row r="49" spans="1:9" ht="15.75">
      <c r="A49" s="48" t="str">
        <f t="shared" si="7"/>
        <v xml:space="preserve"> </v>
      </c>
      <c r="B49" s="92" t="str">
        <f t="shared" si="6"/>
        <v xml:space="preserve"> </v>
      </c>
      <c r="C49" s="92" t="str">
        <f>IF(A49=" "," ",IF(A49="totals",SUM($C$10:C48),($C$7*12)*(A49-A48)))</f>
        <v xml:space="preserve"> </v>
      </c>
      <c r="D49" s="92" t="str">
        <f>IF(A49=" "," ",IF(A49="totals",SUM($D$10:D48),$E$7*12))</f>
        <v xml:space="preserve"> </v>
      </c>
      <c r="E49" s="92" t="str">
        <f>IF($A49=" "," ",IF($A49="Totals",SUM($E$9:$E48),$C49+$D49))</f>
        <v xml:space="preserve"> </v>
      </c>
      <c r="F49" s="98" t="str">
        <f>IF($A49=" "," ",IF($A49="totals",SUM($F$9:$F48),$B49-$B50))</f>
        <v xml:space="preserve"> </v>
      </c>
      <c r="G49" s="92" t="str">
        <f t="shared" si="8"/>
        <v xml:space="preserve"> </v>
      </c>
      <c r="H49" s="27" t="str">
        <f>IF(A49=" "," ",IF(A49="totals",SUM($H$9:$H48),+G49*($G$7/100)))</f>
        <v xml:space="preserve"> </v>
      </c>
    </row>
    <row r="50" spans="1:9" ht="15.75">
      <c r="A50" s="48" t="str">
        <f t="shared" si="7"/>
        <v xml:space="preserve"> </v>
      </c>
      <c r="B50" s="92" t="str">
        <f t="shared" si="6"/>
        <v xml:space="preserve"> </v>
      </c>
      <c r="C50" s="92" t="str">
        <f>IF(A50=" "," ",IF(A50="totals",SUM($C$10:C49),($C$7*12)*(A50-A49)))</f>
        <v xml:space="preserve"> </v>
      </c>
      <c r="D50" s="92" t="str">
        <f>IF(A50=" "," ",IF(A50="totals",SUM($D$10:D49),$E$7*12))</f>
        <v xml:space="preserve"> </v>
      </c>
      <c r="E50" s="92" t="str">
        <f>IF($A50=" "," ",IF($A50="Totals",SUM($E$9:$E49),$C50+$D50))</f>
        <v xml:space="preserve"> </v>
      </c>
      <c r="F50" s="98" t="str">
        <f>IF($A50=" "," ",IF($A50="totals",SUM($F$9:$F49),$B50-$B51))</f>
        <v xml:space="preserve"> </v>
      </c>
      <c r="G50" s="92" t="str">
        <f t="shared" si="8"/>
        <v xml:space="preserve"> </v>
      </c>
      <c r="H50" s="27" t="str">
        <f>IF(A50=" "," ",IF(A50="totals",SUM($H$9:$H49),+G50*($G$7/100)))</f>
        <v xml:space="preserve"> </v>
      </c>
    </row>
    <row r="51" spans="1:9" ht="15.75">
      <c r="A51" s="48" t="str">
        <f t="shared" si="7"/>
        <v xml:space="preserve"> </v>
      </c>
      <c r="B51" s="92" t="str">
        <f t="shared" si="6"/>
        <v xml:space="preserve"> </v>
      </c>
      <c r="C51" s="92" t="str">
        <f>IF(A51=" "," ",IF(A51="totals",SUM($C$10:C50),($C$7*12)*(A51-A50)))</f>
        <v xml:space="preserve"> </v>
      </c>
      <c r="D51" s="92" t="str">
        <f>IF(A51=" "," ",IF(A51="totals",SUM($D$10:D50),$E$7*12))</f>
        <v xml:space="preserve"> </v>
      </c>
      <c r="E51" s="92" t="str">
        <f>IF($A51=" "," ",IF($A51="Totals",SUM($E$9:$E50),$C51+$D51))</f>
        <v xml:space="preserve"> </v>
      </c>
      <c r="F51" s="98" t="str">
        <f>IF($A51=" "," ",IF($A51="totals",SUM($F$9:$F50),$B51-$B52))</f>
        <v xml:space="preserve"> </v>
      </c>
      <c r="G51" s="92" t="str">
        <f t="shared" si="8"/>
        <v xml:space="preserve"> </v>
      </c>
      <c r="H51" s="27" t="str">
        <f>IF(A51=" "," ",IF(A51="totals",SUM($H$9:$H50),+G51*($G$7/100)))</f>
        <v xml:space="preserve"> </v>
      </c>
    </row>
    <row r="52" spans="1:9" ht="15.75">
      <c r="A52" s="48" t="str">
        <f t="shared" si="7"/>
        <v xml:space="preserve"> </v>
      </c>
      <c r="B52" s="92" t="str">
        <f t="shared" si="6"/>
        <v xml:space="preserve"> </v>
      </c>
      <c r="C52" s="92" t="str">
        <f>IF(A52=" "," ",IF(A52="totals",SUM($C$10:C51),($C$7*12)*(A52-A51)))</f>
        <v xml:space="preserve"> </v>
      </c>
      <c r="D52" s="92" t="str">
        <f>IF(A52=" "," ",IF(A52="totals",SUM($D$10:D51),$E$7*12))</f>
        <v xml:space="preserve"> </v>
      </c>
      <c r="E52" s="92" t="str">
        <f>IF($A52=" "," ",IF($A52="Totals",SUM($E$9:$E51),$C52+$D52))</f>
        <v xml:space="preserve"> </v>
      </c>
      <c r="F52" s="98" t="str">
        <f>IF($A52=" "," ",IF($A52="totals",SUM($F$9:$F51),$B52-$B53))</f>
        <v xml:space="preserve"> </v>
      </c>
      <c r="G52" s="92" t="str">
        <f t="shared" si="8"/>
        <v xml:space="preserve"> </v>
      </c>
      <c r="H52" s="27" t="str">
        <f>IF(A52=" "," ",IF(A52="totals",SUM($H$9:$H51),+G52*($G$7/100)))</f>
        <v xml:space="preserve"> </v>
      </c>
    </row>
    <row r="53" spans="1:9" ht="15.75">
      <c r="A53" s="48" t="str">
        <f t="shared" si="7"/>
        <v xml:space="preserve"> </v>
      </c>
      <c r="B53" s="92" t="str">
        <f t="shared" si="6"/>
        <v xml:space="preserve"> </v>
      </c>
      <c r="C53" s="92" t="str">
        <f>IF(A53=" "," ",IF(A53="totals",SUM($C$10:C52),($C$7*12)*(A53-A52)))</f>
        <v xml:space="preserve"> </v>
      </c>
      <c r="D53" s="92" t="str">
        <f>IF(A53=" "," ",IF(A53="totals",SUM($D$10:D52),$E$7*12))</f>
        <v xml:space="preserve"> </v>
      </c>
      <c r="E53" s="92" t="str">
        <f>IF($A53=" "," ",IF($A53="Totals",SUM($E$9:$E52),$C53+$D53))</f>
        <v xml:space="preserve"> </v>
      </c>
      <c r="F53" s="98" t="str">
        <f>IF($A53=" "," ",IF($A53="totals",SUM($F$9:$F52),$B53-$B54))</f>
        <v xml:space="preserve"> </v>
      </c>
      <c r="G53" s="92" t="str">
        <f t="shared" si="8"/>
        <v xml:space="preserve"> </v>
      </c>
      <c r="H53" s="27" t="str">
        <f>IF(A53=" "," ",IF(A53="totals",SUM($H$9:$H52),+G53*($G$7/100)))</f>
        <v xml:space="preserve"> </v>
      </c>
    </row>
    <row r="54" spans="1:9" ht="15.75">
      <c r="A54" s="48" t="str">
        <f t="shared" si="7"/>
        <v xml:space="preserve"> </v>
      </c>
      <c r="B54" s="92" t="str">
        <f t="shared" si="6"/>
        <v xml:space="preserve"> </v>
      </c>
      <c r="C54" s="92" t="str">
        <f>IF(A54=" "," ",IF(A54="totals",SUM($C$10:C53),($C$7*12)*(A54-A53)))</f>
        <v xml:space="preserve"> </v>
      </c>
      <c r="D54" s="92" t="str">
        <f>IF(A54=" "," ",IF(A54="totals",SUM($D$10:D53),$E$7*12))</f>
        <v xml:space="preserve"> </v>
      </c>
      <c r="E54" s="92" t="str">
        <f>IF($A54=" "," ",IF($A54="Totals",SUM($E$9:$E53),$C54+$D54))</f>
        <v xml:space="preserve"> </v>
      </c>
      <c r="F54" s="98" t="str">
        <f>IF($A54=" "," ",IF($A54="totals",SUM($F$9:$F53),$B54-$B55))</f>
        <v xml:space="preserve"> </v>
      </c>
      <c r="G54" s="92" t="str">
        <f t="shared" si="8"/>
        <v xml:space="preserve"> </v>
      </c>
      <c r="H54" s="27" t="str">
        <f>IF(A54=" "," ",IF(A54="totals",SUM($H$9:$H53),+G54*($G$7/100)))</f>
        <v xml:space="preserve"> </v>
      </c>
    </row>
    <row r="55" spans="1:9" ht="15.75">
      <c r="A55" s="48" t="str">
        <f t="shared" si="7"/>
        <v xml:space="preserve"> </v>
      </c>
      <c r="B55" s="92" t="str">
        <f t="shared" si="6"/>
        <v xml:space="preserve"> </v>
      </c>
      <c r="C55" s="92" t="str">
        <f>IF(A55=" "," ",IF(A55="totals",SUM($C$10:C54),($C$7*12)*(A55-A54)))</f>
        <v xml:space="preserve"> </v>
      </c>
      <c r="D55" s="92" t="str">
        <f>IF(A55=" "," ",IF(A55="totals",SUM($D$10:D54),$E$7*12))</f>
        <v xml:space="preserve"> </v>
      </c>
      <c r="E55" s="92" t="str">
        <f>IF($A55=" "," ",IF($A55="Totals",SUM($E$9:$E54),$C55+$D55))</f>
        <v xml:space="preserve"> </v>
      </c>
      <c r="F55" s="98" t="str">
        <f>IF($A55=" "," ",IF($A55="totals",SUM($F$9:$F54),$B55-$B56))</f>
        <v xml:space="preserve"> </v>
      </c>
      <c r="G55" s="92" t="str">
        <f t="shared" si="8"/>
        <v xml:space="preserve"> </v>
      </c>
      <c r="H55" s="27" t="str">
        <f>IF(A55=" "," ",IF(A55="totals",SUM($H$9:$H54),+G55*($G$7/100)))</f>
        <v xml:space="preserve"> </v>
      </c>
    </row>
    <row r="56" spans="1:9" ht="15.75">
      <c r="A56" s="48" t="str">
        <f t="shared" si="7"/>
        <v xml:space="preserve"> </v>
      </c>
      <c r="B56" s="92" t="str">
        <f t="shared" si="6"/>
        <v xml:space="preserve"> </v>
      </c>
      <c r="C56" s="92" t="str">
        <f>IF(A56=" "," ",IF(A56="totals",SUM($C$10:C55),($C$7*12)*(A56-A55)))</f>
        <v xml:space="preserve"> </v>
      </c>
      <c r="D56" s="92" t="str">
        <f>IF(A56=" "," ",IF(A56="totals",SUM($D$10:D55),$E$7*12))</f>
        <v xml:space="preserve"> </v>
      </c>
      <c r="E56" s="92" t="str">
        <f>IF($A56=" "," ",IF($A56="Totals",SUM($E$9:$E55),$C56+$D56))</f>
        <v xml:space="preserve"> </v>
      </c>
      <c r="F56" s="98" t="str">
        <f>IF($A56=" "," ",IF($A56="totals",SUM($F$9:$F55),$B56-$B57))</f>
        <v xml:space="preserve"> </v>
      </c>
      <c r="G56" s="92" t="str">
        <f t="shared" si="8"/>
        <v xml:space="preserve"> </v>
      </c>
      <c r="H56" s="27" t="str">
        <f>IF(A56=" "," ",IF(A56="totals",SUM($H$9:$H55),+G56*($G$7/100)))</f>
        <v xml:space="preserve"> </v>
      </c>
    </row>
    <row r="57" spans="1:9" ht="15.75">
      <c r="A57" s="48" t="str">
        <f t="shared" si="7"/>
        <v xml:space="preserve"> </v>
      </c>
      <c r="B57" s="92" t="str">
        <f t="shared" si="6"/>
        <v xml:space="preserve"> </v>
      </c>
      <c r="C57" s="92" t="str">
        <f>IF(A57=" "," ",IF(A57="totals",SUM($C$10:C56),($C$7*12)*(A57-A56)))</f>
        <v xml:space="preserve"> </v>
      </c>
      <c r="D57" s="92" t="str">
        <f>IF(A57=" "," ",IF(A57="totals",SUM($D$10:D56),$E$7*12))</f>
        <v xml:space="preserve"> </v>
      </c>
      <c r="E57" s="92" t="str">
        <f>IF($A57=" "," ",IF($A57="Totals",SUM($E$9:$E56),$C57+$D57))</f>
        <v xml:space="preserve"> </v>
      </c>
      <c r="F57" s="98" t="str">
        <f>IF($A57=" "," ",IF($A57="totals",SUM($F$9:$F56),$B57-$B58))</f>
        <v xml:space="preserve"> </v>
      </c>
      <c r="G57" s="92" t="str">
        <f t="shared" si="8"/>
        <v xml:space="preserve"> </v>
      </c>
      <c r="H57" s="27" t="str">
        <f>IF(A57=" "," ",IF(A57="totals",SUM($H$9:$H56),+G57*($G$7/100)))</f>
        <v xml:space="preserve"> </v>
      </c>
    </row>
    <row r="58" spans="1:9" ht="15.75">
      <c r="A58" s="48" t="str">
        <f t="shared" si="7"/>
        <v xml:space="preserve"> </v>
      </c>
      <c r="B58" s="92" t="str">
        <f t="shared" si="6"/>
        <v xml:space="preserve"> </v>
      </c>
      <c r="C58" s="92" t="str">
        <f>IF(A58=" "," ",IF(A58="totals",SUM($C$10:C57),($C$7*12)*(A58-A57)))</f>
        <v xml:space="preserve"> </v>
      </c>
      <c r="D58" s="92" t="str">
        <f>IF(A58=" "," ",IF(A58="totals",SUM($D$10:D57),$E$7*12))</f>
        <v xml:space="preserve"> </v>
      </c>
      <c r="E58" s="92" t="str">
        <f>IF($A58=" "," ",IF($A58="Totals",SUM($E$9:$E57),$C58+$D58))</f>
        <v xml:space="preserve"> </v>
      </c>
      <c r="F58" s="98" t="str">
        <f>IF($A58=" "," ",IF($A58="totals",SUM($F$9:$F57),$B58-$B59))</f>
        <v xml:space="preserve"> </v>
      </c>
      <c r="G58" s="92" t="str">
        <f t="shared" si="8"/>
        <v xml:space="preserve"> </v>
      </c>
      <c r="H58" s="27" t="str">
        <f>IF(A58=" "," ",IF(A58="totals",SUM($H$9:$H57),+G58*($G$7/100)))</f>
        <v xml:space="preserve"> </v>
      </c>
    </row>
    <row r="59" spans="1:9" ht="15.75">
      <c r="A59" s="48" t="str">
        <f t="shared" si="7"/>
        <v xml:space="preserve"> </v>
      </c>
      <c r="B59" s="92" t="str">
        <f>IF(A59=" "," ",FV($E$4/100/12,(A58-A57)*12,$E$10/12,-B58))</f>
        <v xml:space="preserve"> </v>
      </c>
      <c r="C59" s="92" t="str">
        <f>IF(A59=" "," ",IF(A59="totals",SUM($C$10:C58),($C$7*12)*(A59-A58)))</f>
        <v xml:space="preserve"> </v>
      </c>
      <c r="D59" s="92" t="str">
        <f>IF(A59=" "," ",IF(A59="totals",SUM($D$10:D58),$E$7*12))</f>
        <v xml:space="preserve"> </v>
      </c>
      <c r="E59" s="92" t="str">
        <f>IF($A59=" "," ",IF($A59="Totals",SUM($E$9:$E58),$C59+$D59))</f>
        <v xml:space="preserve"> </v>
      </c>
      <c r="F59" s="98" t="str">
        <f>IF($A59=" "," ",IF($A59="totals",SUM($F$9:$F58),$B59-$B60))</f>
        <v xml:space="preserve"> </v>
      </c>
      <c r="G59" s="92" t="str">
        <f t="shared" si="8"/>
        <v xml:space="preserve"> </v>
      </c>
      <c r="H59" s="27" t="str">
        <f>IF(A59=" "," ",IF(A59="totals",SUM($H$9:$H58),+G59*($G$7/100)))</f>
        <v xml:space="preserve"> </v>
      </c>
    </row>
    <row r="60" spans="1:9" ht="15.75">
      <c r="A60" s="48" t="str">
        <f>IF(A59=" "," ",IF(A59="Totals"," ",IF(A59=$G$4,"Totals",IF(A59&gt;$G$4-1,$G$4,"Totals"))))</f>
        <v xml:space="preserve"> </v>
      </c>
      <c r="B60" s="92" t="str">
        <f>IF(A60=" "," ",FV($E$4/100/12,(A59-A58)*12,$E$10/12,-B59))</f>
        <v xml:space="preserve"> </v>
      </c>
      <c r="C60" s="92" t="str">
        <f>IF(A60=" "," ",IF(A60="totals",SUM($C$10:C59),($C$7*12)*(A60-A59)))</f>
        <v xml:space="preserve"> </v>
      </c>
      <c r="D60" s="92" t="str">
        <f>IF(A60=" "," ",IF(A60="totals",SUM($D$10:D59),$E$7*12))</f>
        <v xml:space="preserve"> </v>
      </c>
      <c r="E60" s="92" t="str">
        <f>IF($A60=" "," ",IF($A60="Totals",SUM($E$9:$E59),$C60+$D60))</f>
        <v xml:space="preserve"> </v>
      </c>
      <c r="F60" s="98" t="str">
        <f>IF($A60=" "," ",IF($A60="totals",SUM($F$9:$F59),$B60-$B61))</f>
        <v xml:space="preserve"> </v>
      </c>
      <c r="G60" s="92" t="str">
        <f t="shared" si="8"/>
        <v xml:space="preserve"> </v>
      </c>
      <c r="H60" s="27" t="str">
        <f>IF(A60=" "," ",IF(A60="totals",SUM($H$9:$H59),+G60*($G$7/100)))</f>
        <v xml:space="preserve"> </v>
      </c>
    </row>
    <row r="61" spans="1:9" ht="15.75">
      <c r="A61" s="48"/>
      <c r="B61" s="28"/>
      <c r="C61" s="28" t="s">
        <v>52</v>
      </c>
      <c r="D61" s="28" t="str">
        <f>IF(A61=" "," ",IF(A61="totals",SUM(D10:$D$60),IF(A60="Totals"," ",$E$7*12)))</f>
        <v xml:space="preserve"> </v>
      </c>
      <c r="E61" s="28" t="s">
        <v>52</v>
      </c>
      <c r="F61" s="28" t="str">
        <f>IF($A61=" "," ",IF($A61="totals",SUM(F10:$F$61),IF($A60="Totals"," ",$B61-$B62)))</f>
        <v xml:space="preserve"> </v>
      </c>
      <c r="G61" s="28" t="str">
        <f>IF($A61=" "," ",IF($A61="totals",SUM(G10:$G$60),IF($A60="Totals"," ",$E61-$F61)))</f>
        <v xml:space="preserve"> </v>
      </c>
      <c r="H61" s="27" t="str">
        <f>IF(A61=" "," ",+G61*($G$7/100))</f>
        <v xml:space="preserve"> </v>
      </c>
      <c r="I61" s="16"/>
    </row>
    <row r="62" spans="1:9" ht="15.75">
      <c r="A62" s="48"/>
      <c r="B62" s="28"/>
      <c r="C62" s="28"/>
      <c r="D62" s="28"/>
      <c r="E62" s="28"/>
      <c r="F62" s="28"/>
      <c r="G62" s="28"/>
      <c r="H62" s="27"/>
      <c r="I62" s="16"/>
    </row>
    <row r="63" spans="1:9" ht="15.75">
      <c r="A63" s="48"/>
      <c r="B63" s="28"/>
      <c r="C63" s="28"/>
      <c r="D63" s="28"/>
      <c r="E63" s="28"/>
      <c r="F63" s="28"/>
      <c r="G63" s="28"/>
      <c r="H63" s="27"/>
      <c r="I63" s="16"/>
    </row>
    <row r="64" spans="1:9" ht="15.75">
      <c r="A64" s="48"/>
      <c r="B64" s="28"/>
      <c r="C64" s="28"/>
      <c r="D64" s="28"/>
      <c r="E64" s="28"/>
      <c r="F64" s="28"/>
      <c r="G64" s="28"/>
      <c r="H64" s="27"/>
    </row>
    <row r="65" spans="1:8" ht="15.75">
      <c r="A65" s="48"/>
      <c r="B65" s="28"/>
      <c r="C65" s="28"/>
      <c r="D65" s="28"/>
      <c r="E65" s="28"/>
      <c r="F65" s="28"/>
      <c r="G65" s="28"/>
      <c r="H65" s="27"/>
    </row>
    <row r="66" spans="1:8" ht="15.75">
      <c r="A66" s="48"/>
      <c r="B66" s="28"/>
      <c r="C66" s="28"/>
      <c r="D66" s="28"/>
      <c r="E66" s="28"/>
      <c r="F66" s="28"/>
      <c r="G66" s="28"/>
      <c r="H66" s="27"/>
    </row>
    <row r="67" spans="1:8" ht="15.75">
      <c r="A67" s="48"/>
      <c r="B67" s="28"/>
      <c r="C67" s="28"/>
      <c r="D67" s="28"/>
      <c r="E67" s="28"/>
      <c r="F67" s="28"/>
      <c r="G67" s="28"/>
      <c r="H67" s="27"/>
    </row>
    <row r="68" spans="1:8" ht="15.75">
      <c r="A68" s="48"/>
      <c r="B68" s="28"/>
      <c r="C68" s="28"/>
      <c r="D68" s="28"/>
      <c r="E68" s="28"/>
      <c r="F68" s="28"/>
      <c r="G68" s="28"/>
      <c r="H68" s="27"/>
    </row>
    <row r="69" spans="1:8" ht="15.75">
      <c r="A69" s="48"/>
      <c r="B69" s="28"/>
      <c r="C69" s="28"/>
      <c r="D69" s="28"/>
      <c r="E69" s="28"/>
      <c r="F69" s="28"/>
      <c r="G69" s="28"/>
      <c r="H69" s="27"/>
    </row>
    <row r="70" spans="1:8" ht="15.75">
      <c r="A70" s="48"/>
      <c r="B70" s="28"/>
      <c r="C70" s="28"/>
      <c r="D70" s="28"/>
      <c r="E70" s="28"/>
      <c r="F70" s="28"/>
      <c r="G70" s="28"/>
      <c r="H70" s="27"/>
    </row>
    <row r="71" spans="1:8" ht="15.75">
      <c r="A71" s="48"/>
      <c r="B71" s="28"/>
      <c r="C71" s="28"/>
      <c r="D71" s="28"/>
      <c r="E71" s="28"/>
      <c r="F71" s="28"/>
      <c r="G71" s="28"/>
      <c r="H71" s="27"/>
    </row>
    <row r="72" spans="1:8" ht="15.75">
      <c r="A72" s="48"/>
      <c r="B72" s="28"/>
      <c r="C72" s="28"/>
      <c r="D72" s="28"/>
      <c r="E72" s="28"/>
      <c r="F72" s="28"/>
      <c r="G72" s="28"/>
      <c r="H72" s="27"/>
    </row>
    <row r="73" spans="1:8" ht="15.75">
      <c r="A73" s="48"/>
      <c r="B73" s="28"/>
      <c r="C73" s="28"/>
      <c r="D73" s="28"/>
      <c r="E73" s="28"/>
      <c r="F73" s="28"/>
      <c r="G73" s="28"/>
      <c r="H73" s="27"/>
    </row>
    <row r="74" spans="1:8" ht="15.75">
      <c r="A74" s="48"/>
      <c r="B74" s="28"/>
      <c r="C74" s="28"/>
      <c r="D74" s="28"/>
      <c r="E74" s="28"/>
      <c r="F74" s="28"/>
      <c r="G74" s="28"/>
      <c r="H74" s="27"/>
    </row>
    <row r="75" spans="1:8" ht="15.75">
      <c r="A75" s="48"/>
      <c r="B75" s="28"/>
      <c r="C75" s="28"/>
      <c r="D75" s="28"/>
      <c r="E75" s="28"/>
      <c r="F75" s="28"/>
      <c r="G75" s="28"/>
      <c r="H75" s="27"/>
    </row>
    <row r="76" spans="1:8" ht="15.75">
      <c r="A76" s="48"/>
      <c r="B76" s="28"/>
      <c r="C76" s="28"/>
      <c r="D76" s="28"/>
      <c r="E76" s="28"/>
      <c r="F76" s="28"/>
      <c r="G76" s="28"/>
      <c r="H76" s="27"/>
    </row>
    <row r="77" spans="1:8" ht="15.75">
      <c r="A77" s="48"/>
      <c r="B77" s="28"/>
      <c r="C77" s="28"/>
      <c r="D77" s="28"/>
      <c r="E77" s="28"/>
      <c r="F77" s="28"/>
      <c r="G77" s="28"/>
      <c r="H77" s="27"/>
    </row>
    <row r="78" spans="1:8" ht="15.75">
      <c r="A78" s="48"/>
      <c r="B78" s="28"/>
      <c r="C78" s="28"/>
      <c r="D78" s="28"/>
      <c r="E78" s="28"/>
      <c r="F78" s="28"/>
      <c r="G78" s="28"/>
      <c r="H78" s="27"/>
    </row>
    <row r="79" spans="1:8" ht="15.75">
      <c r="A79" s="48"/>
      <c r="B79" s="28"/>
      <c r="C79" s="28"/>
      <c r="D79" s="28"/>
      <c r="E79" s="28"/>
      <c r="F79" s="28"/>
      <c r="G79" s="28"/>
      <c r="H79" s="27"/>
    </row>
    <row r="80" spans="1:8" ht="15.75">
      <c r="A80" s="48"/>
      <c r="B80" s="28"/>
      <c r="C80" s="28"/>
      <c r="D80" s="28"/>
      <c r="E80" s="28"/>
      <c r="F80" s="28"/>
      <c r="G80" s="28"/>
      <c r="H80" s="27"/>
    </row>
    <row r="81" spans="1:8" ht="15.75">
      <c r="A81" s="48"/>
      <c r="B81" s="28"/>
      <c r="C81" s="28"/>
      <c r="D81" s="28"/>
      <c r="E81" s="28"/>
      <c r="F81" s="28"/>
      <c r="G81" s="28"/>
      <c r="H81" s="27"/>
    </row>
    <row r="82" spans="1:8" ht="15.75">
      <c r="A82" s="48"/>
      <c r="B82" s="28"/>
      <c r="C82" s="28"/>
      <c r="D82" s="28"/>
      <c r="E82" s="28"/>
      <c r="F82" s="28"/>
      <c r="G82" s="28"/>
      <c r="H82" s="27"/>
    </row>
    <row r="83" spans="1:8">
      <c r="B83"/>
      <c r="C83" s="16"/>
      <c r="D83"/>
      <c r="E83" s="16"/>
      <c r="F83" s="16"/>
      <c r="G83" s="28"/>
      <c r="H83"/>
    </row>
    <row r="84" spans="1:8">
      <c r="B84"/>
      <c r="C84" s="16"/>
      <c r="D84"/>
      <c r="E84" s="16"/>
      <c r="F84" s="16"/>
      <c r="G84" s="28"/>
      <c r="H84"/>
    </row>
    <row r="85" spans="1:8">
      <c r="B85"/>
      <c r="C85" s="16"/>
      <c r="D85"/>
      <c r="E85" s="16"/>
      <c r="F85" s="16"/>
      <c r="G85" s="28"/>
      <c r="H85"/>
    </row>
    <row r="86" spans="1:8">
      <c r="B86"/>
      <c r="C86" s="16"/>
      <c r="D86"/>
      <c r="E86" s="16"/>
      <c r="F86" s="16"/>
      <c r="G86" s="16"/>
      <c r="H86"/>
    </row>
    <row r="87" spans="1:8">
      <c r="B87"/>
      <c r="C87" s="16"/>
      <c r="D87"/>
      <c r="E87" s="16"/>
      <c r="F87" s="16"/>
      <c r="G87" s="16"/>
      <c r="H87"/>
    </row>
    <row r="88" spans="1:8">
      <c r="B88"/>
      <c r="C88" s="16"/>
      <c r="D88"/>
      <c r="E88" s="16"/>
      <c r="F88" s="16"/>
      <c r="G88" s="16"/>
      <c r="H88"/>
    </row>
    <row r="89" spans="1:8">
      <c r="B89"/>
      <c r="C89" s="16"/>
      <c r="D89"/>
      <c r="E89" s="16"/>
      <c r="F89" s="16"/>
      <c r="G89" s="16"/>
      <c r="H89"/>
    </row>
    <row r="90" spans="1:8">
      <c r="B90"/>
      <c r="C90" s="16"/>
      <c r="D90"/>
      <c r="E90" s="16"/>
      <c r="F90" s="16"/>
      <c r="G90" s="16"/>
      <c r="H90"/>
    </row>
    <row r="91" spans="1:8">
      <c r="B91"/>
      <c r="C91" s="16"/>
      <c r="D91"/>
      <c r="E91" s="16"/>
      <c r="F91" s="16"/>
      <c r="G91" s="16"/>
      <c r="H91"/>
    </row>
    <row r="92" spans="1:8">
      <c r="B92"/>
      <c r="C92" s="16"/>
      <c r="D92"/>
      <c r="E92" s="16"/>
      <c r="F92" s="16"/>
      <c r="G92" s="16"/>
      <c r="H92"/>
    </row>
    <row r="93" spans="1:8">
      <c r="B93"/>
      <c r="C93" s="16"/>
      <c r="D93"/>
      <c r="E93" s="16"/>
      <c r="F93" s="16"/>
      <c r="G93" s="16"/>
      <c r="H93"/>
    </row>
    <row r="94" spans="1:8">
      <c r="B94"/>
      <c r="C94" s="16"/>
      <c r="D94"/>
      <c r="E94" s="16"/>
      <c r="F94" s="16"/>
      <c r="G94" s="16"/>
      <c r="H94"/>
    </row>
    <row r="95" spans="1:8">
      <c r="B95"/>
      <c r="C95" s="16"/>
      <c r="D95"/>
      <c r="E95" s="16"/>
      <c r="F95" s="16"/>
      <c r="G95" s="16"/>
      <c r="H95"/>
    </row>
  </sheetData>
  <phoneticPr fontId="0" type="noConversion"/>
  <printOptions horizontalCentered="1"/>
  <pageMargins left="0.5" right="0.5" top="0.5" bottom="0.5" header="0.5" footer="0.5"/>
  <pageSetup scale="88" orientation="portrait" r:id="rId1"/>
  <headerFooter alignWithMargins="0">
    <oddFooter>&amp;L&amp;8&amp;D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H76"/>
  <sheetViews>
    <sheetView defaultGridColor="0" colorId="23" zoomScale="77" workbookViewId="0">
      <selection activeCell="J2" sqref="J2"/>
    </sheetView>
  </sheetViews>
  <sheetFormatPr defaultColWidth="9.77734375" defaultRowHeight="15"/>
  <cols>
    <col min="1" max="1" width="9.77734375" style="145"/>
    <col min="2" max="2" width="9.88671875" customWidth="1"/>
    <col min="3" max="3" width="8.77734375" customWidth="1"/>
    <col min="4" max="4" width="10.77734375" customWidth="1"/>
    <col min="6" max="6" width="10.88671875" customWidth="1"/>
  </cols>
  <sheetData>
    <row r="1" spans="1:8" ht="40.5">
      <c r="A1" s="168" t="s">
        <v>40</v>
      </c>
      <c r="B1" s="169"/>
      <c r="C1" s="154"/>
      <c r="D1" s="168"/>
      <c r="E1" s="147"/>
      <c r="F1" s="168"/>
      <c r="G1" s="168"/>
      <c r="H1" s="169"/>
    </row>
    <row r="2" spans="1:8" ht="23.25">
      <c r="A2" s="51"/>
      <c r="B2" s="52"/>
      <c r="C2" s="41"/>
      <c r="D2" s="52"/>
      <c r="E2" s="41"/>
      <c r="F2" s="41"/>
      <c r="G2" s="41"/>
      <c r="H2" s="52"/>
    </row>
    <row r="3" spans="1:8">
      <c r="A3" s="50"/>
      <c r="B3" s="1"/>
      <c r="C3" s="42" t="s">
        <v>41</v>
      </c>
      <c r="D3" s="1"/>
      <c r="E3" s="42" t="s">
        <v>42</v>
      </c>
      <c r="F3" s="1"/>
      <c r="G3" s="42" t="s">
        <v>43</v>
      </c>
      <c r="H3" s="8"/>
    </row>
    <row r="4" spans="1:8">
      <c r="C4" s="99">
        <v>267000</v>
      </c>
      <c r="E4" s="100">
        <v>5.5</v>
      </c>
      <c r="G4" s="101">
        <v>30</v>
      </c>
    </row>
    <row r="5" spans="1:8">
      <c r="B5" s="34"/>
    </row>
    <row r="6" spans="1:8">
      <c r="B6" s="32"/>
      <c r="C6" s="33" t="s">
        <v>44</v>
      </c>
      <c r="E6" s="42" t="s">
        <v>45</v>
      </c>
      <c r="G6" s="42" t="s">
        <v>6</v>
      </c>
      <c r="H6" s="38"/>
    </row>
    <row r="7" spans="1:8">
      <c r="B7" s="34"/>
      <c r="C7" s="97">
        <f>IF($C$4=0," ",PMT(($E$4/100)/12,$G$4*12,-$C$4,0))</f>
        <v>1515.9966335964978</v>
      </c>
      <c r="E7" s="99">
        <v>0</v>
      </c>
      <c r="G7" s="100">
        <v>32</v>
      </c>
    </row>
    <row r="8" spans="1:8" ht="23.25">
      <c r="A8" s="152"/>
      <c r="B8" s="43"/>
      <c r="C8" s="44"/>
      <c r="D8" s="45"/>
      <c r="E8" s="44"/>
      <c r="F8" s="44"/>
      <c r="G8" s="44"/>
      <c r="H8" s="30"/>
    </row>
    <row r="9" spans="1:8" ht="18.75">
      <c r="A9" s="36" t="s">
        <v>20</v>
      </c>
      <c r="B9" s="46" t="s">
        <v>36</v>
      </c>
      <c r="C9" s="47" t="s">
        <v>46</v>
      </c>
      <c r="D9" s="47" t="s">
        <v>47</v>
      </c>
      <c r="E9" s="46" t="s">
        <v>48</v>
      </c>
      <c r="F9" s="46" t="s">
        <v>49</v>
      </c>
      <c r="G9" s="46" t="s">
        <v>50</v>
      </c>
      <c r="H9" s="46" t="s">
        <v>51</v>
      </c>
    </row>
    <row r="10" spans="1:8" ht="15.75">
      <c r="A10" s="37">
        <f>IF($G$4=0," ",1)</f>
        <v>1</v>
      </c>
      <c r="B10" s="92">
        <f>IF(A10=" "," ",+C4)</f>
        <v>267000</v>
      </c>
      <c r="C10" s="92">
        <f>IF(A10=" "," ",IF(A10="totals",SUM($C9:C$10),$C$7*12))</f>
        <v>18191.959603157971</v>
      </c>
      <c r="D10" s="92">
        <f>IF($A10=" "," ",IF($A10="totals",SUM($D9:$D10),$E$7*12))</f>
        <v>0</v>
      </c>
      <c r="E10" s="92">
        <f>IF($A10=" "," ",IF($A10="Totals",SUM($E$9:$E9),$C10+$D10))</f>
        <v>18191.959603157971</v>
      </c>
      <c r="F10" s="98">
        <f>IF($A10=" "," ",IF($A10="totals",SUM($F$9:$F9),$B10-$B11))</f>
        <v>3596.7288667754037</v>
      </c>
      <c r="G10" s="92">
        <f>IF($A10=" "," ",IF($A10="totals",SUM(G9:$G$9),$E10-$F10))</f>
        <v>14595.230736382568</v>
      </c>
      <c r="H10" s="27">
        <f>IF(A10=" "," ",IF(A10="totals",SUM($H$9:$H9),+G10*($G$7/100)))</f>
        <v>4670.4738356424214</v>
      </c>
    </row>
    <row r="11" spans="1:8" ht="15.75">
      <c r="A11" s="37">
        <f>IF(A10=" "," ",IF(A10="Totals"," ",IF(A10=$G$4,"Totals",IF(A10&gt;$G$4-1,$G$4,A10+1))))</f>
        <v>2</v>
      </c>
      <c r="B11" s="92">
        <f t="shared" ref="B11:B26" si="0">IF(A11=" "," ",FV($E$4/100/12,(A10-A9)*12,$E$10/12,-B10))</f>
        <v>263403.2711332246</v>
      </c>
      <c r="C11" s="92">
        <f>IF(A11=" "," ",IF(A11="totals",SUM($C$10:C10),($C$7*12)*(A11-A10)))</f>
        <v>18191.959603157971</v>
      </c>
      <c r="D11" s="92">
        <f>IF(A11=" "," ",IF(A11="totals",SUM($D$10:D10),$E$7*12))</f>
        <v>0</v>
      </c>
      <c r="E11" s="92">
        <f>IF($A11=" "," ",IF($A11="Totals",SUM($E$9:$E10),$C11+$D11))</f>
        <v>18191.959603157971</v>
      </c>
      <c r="F11" s="98">
        <f>IF($A11=" "," ",IF($A11="totals",SUM($F$9:$F10),$B11-$B12))</f>
        <v>3799.6126465371053</v>
      </c>
      <c r="G11" s="92">
        <f>IF($A11=" "," ",IF($A11="totals",SUM($G$10),IF($A10="Totals"," ",$E11-$F11)))</f>
        <v>14392.346956620866</v>
      </c>
      <c r="H11" s="27">
        <f>IF(A11=" "," ",IF(A11="totals",SUM($H$9:$H10),+G11*($G$7/100)))</f>
        <v>4605.5510261186773</v>
      </c>
    </row>
    <row r="12" spans="1:8" ht="15.75">
      <c r="A12" s="37">
        <f t="shared" ref="A12:A27" si="1">IF(A11=" "," ",IF(A11="Totals"," ",IF(A11=$G$4,"Totals",IF(A11&gt;$G$4-1,$G$4,A11+1))))</f>
        <v>3</v>
      </c>
      <c r="B12" s="92">
        <f t="shared" si="0"/>
        <v>259603.65848668749</v>
      </c>
      <c r="C12" s="92">
        <f>IF(A12=" "," ",IF(A12="totals",SUM($C$10:C11),($C$7*12)*(A12-A11)))</f>
        <v>18191.959603157971</v>
      </c>
      <c r="D12" s="92">
        <f>IF(A12=" "," ",IF(A12="totals",SUM($D$10:D11),$E$7*12))</f>
        <v>0</v>
      </c>
      <c r="E12" s="92">
        <f>IF($A12=" "," ",IF($A12="Totals",SUM($E$9:$E11),$C12+$D12))</f>
        <v>18191.959603157971</v>
      </c>
      <c r="F12" s="98">
        <f>IF($A12=" "," ",IF($A12="totals",SUM($F$9:$F11),$B12-$B13))</f>
        <v>4013.9406662220717</v>
      </c>
      <c r="G12" s="92">
        <f t="shared" ref="G12:G27" si="2">IF($A12=" "," ",IF($A12="totals",SUM($G$10),IF($A11="Totals"," ",$E12-$F12)))</f>
        <v>14178.0189369359</v>
      </c>
      <c r="H12" s="27">
        <f>IF(A12=" "," ",IF(A12="totals",SUM($H$9:$H11),+G12*($G$7/100)))</f>
        <v>4536.9660598194878</v>
      </c>
    </row>
    <row r="13" spans="1:8" ht="15.75">
      <c r="A13" s="37">
        <f t="shared" si="1"/>
        <v>4</v>
      </c>
      <c r="B13" s="92">
        <f t="shared" si="0"/>
        <v>255589.71782046542</v>
      </c>
      <c r="C13" s="92">
        <f>IF(A13=" "," ",IF(A13="totals",SUM($C$10:C12),($C$7*12)*(A13-A12)))</f>
        <v>18191.959603157971</v>
      </c>
      <c r="D13" s="92">
        <f>IF(A13=" "," ",IF(A13="totals",SUM($D$10:D12),$E$7*12))</f>
        <v>0</v>
      </c>
      <c r="E13" s="92">
        <f>IF($A13=" "," ",IF($A13="Totals",SUM($E$9:$E12),$C13+$D13))</f>
        <v>18191.959603157971</v>
      </c>
      <c r="F13" s="98">
        <f>IF($A13=" "," ",IF($A13="totals",SUM($F$9:$F12),$B13-$B14))</f>
        <v>4240.358470918145</v>
      </c>
      <c r="G13" s="92">
        <f t="shared" si="2"/>
        <v>13951.601132239826</v>
      </c>
      <c r="H13" s="27">
        <f>IF(A13=" "," ",IF(A13="totals",SUM($H$9:$H12),+G13*($G$7/100)))</f>
        <v>4464.5123623167447</v>
      </c>
    </row>
    <row r="14" spans="1:8" ht="15.75">
      <c r="A14" s="37">
        <f t="shared" si="1"/>
        <v>5</v>
      </c>
      <c r="B14" s="92">
        <f t="shared" si="0"/>
        <v>251349.35934954727</v>
      </c>
      <c r="C14" s="92">
        <f>IF(A14=" "," ",IF(A14="totals",SUM($C$10:C13),($C$7*12)*(A14-A13)))</f>
        <v>18191.959603157971</v>
      </c>
      <c r="D14" s="92">
        <f>IF(A14=" "," ",IF(A14="totals",SUM($D$10:D13),$E$7*12))</f>
        <v>0</v>
      </c>
      <c r="E14" s="92">
        <f>IF($A14=" "," ",IF($A14="Totals",SUM($E$9:$E13),$C14+$D14))</f>
        <v>18191.959603157971</v>
      </c>
      <c r="F14" s="98">
        <f>IF($A14=" "," ",IF($A14="totals",SUM($F$9:$F13),$B14-$B15))</f>
        <v>4479.5480195303098</v>
      </c>
      <c r="G14" s="92">
        <f t="shared" si="2"/>
        <v>13712.411583627661</v>
      </c>
      <c r="H14" s="27">
        <f>IF(A14=" "," ",IF(A14="totals",SUM($H$9:$H13),+G14*($G$7/100)))</f>
        <v>4387.9717067608517</v>
      </c>
    </row>
    <row r="15" spans="1:8" ht="15.75">
      <c r="A15" s="37">
        <f t="shared" si="1"/>
        <v>6</v>
      </c>
      <c r="B15" s="92">
        <f t="shared" si="0"/>
        <v>246869.81133001696</v>
      </c>
      <c r="C15" s="92">
        <f>IF(A15=" "," ",IF(A15="totals",SUM($C$10:C14),($C$7*12)*(A15-A14)))</f>
        <v>18191.959603157971</v>
      </c>
      <c r="D15" s="92">
        <f>IF(A15=" "," ",IF(A15="totals",SUM($D$10:D14),$E$7*12))</f>
        <v>0</v>
      </c>
      <c r="E15" s="92">
        <f>IF($A15=" "," ",IF($A15="Totals",SUM($E$9:$E14),$C15+$D15))</f>
        <v>18191.959603157971</v>
      </c>
      <c r="F15" s="98">
        <f>IF($A15=" "," ",IF($A15="totals",SUM($F$9:$F14),$B15-$B16))</f>
        <v>4732.2297388062871</v>
      </c>
      <c r="G15" s="92">
        <f t="shared" si="2"/>
        <v>13459.729864351684</v>
      </c>
      <c r="H15" s="27">
        <f>IF(A15=" "," ",IF(A15="totals",SUM($H$9:$H14),+G15*($G$7/100)))</f>
        <v>4307.1135565925388</v>
      </c>
    </row>
    <row r="16" spans="1:8" ht="15.75">
      <c r="A16" s="37">
        <f t="shared" si="1"/>
        <v>7</v>
      </c>
      <c r="B16" s="92">
        <f t="shared" si="0"/>
        <v>242137.58159121068</v>
      </c>
      <c r="C16" s="92">
        <f>IF(A16=" "," ",IF(A16="totals",SUM($C$10:C15),($C$7*12)*(A16-A15)))</f>
        <v>18191.959603157971</v>
      </c>
      <c r="D16" s="92">
        <f>IF(A16=" "," ",IF(A16="totals",SUM($D$10:D15),$E$7*12))</f>
        <v>0</v>
      </c>
      <c r="E16" s="92">
        <f>IF($A16=" "," ",IF($A16="Totals",SUM($E$9:$E15),$C16+$D16))</f>
        <v>18191.959603157971</v>
      </c>
      <c r="F16" s="98">
        <f>IF($A16=" "," ",IF($A16="totals",SUM($F$9:$F15),$B16-$B17))</f>
        <v>4999.164693225146</v>
      </c>
      <c r="G16" s="92">
        <f t="shared" si="2"/>
        <v>13192.794909932825</v>
      </c>
      <c r="H16" s="27">
        <f>IF(A16=" "," ",IF(A16="totals",SUM($H$9:$H15),+G16*($G$7/100)))</f>
        <v>4221.6943711785043</v>
      </c>
    </row>
    <row r="17" spans="1:8" ht="15.75">
      <c r="A17" s="37">
        <f t="shared" si="1"/>
        <v>8</v>
      </c>
      <c r="B17" s="92">
        <f t="shared" si="0"/>
        <v>237138.41689798553</v>
      </c>
      <c r="C17" s="92">
        <f>IF(A17=" "," ",IF(A17="totals",SUM($C$10:C16),($C$7*12)*(A17-A16)))</f>
        <v>18191.959603157971</v>
      </c>
      <c r="D17" s="92">
        <f>IF(A17=" "," ",IF(A17="totals",SUM($D$10:D16),$E$7*12))</f>
        <v>0</v>
      </c>
      <c r="E17" s="92">
        <f>IF($A17=" "," ",IF($A17="Totals",SUM($E$9:$E16),$C17+$D17))</f>
        <v>18191.959603157971</v>
      </c>
      <c r="F17" s="98">
        <f>IF($A17=" "," ",IF($A17="totals",SUM($F$9:$F16),$B17-$B18))</f>
        <v>5281.1568772848987</v>
      </c>
      <c r="G17" s="92">
        <f t="shared" si="2"/>
        <v>12910.802725873073</v>
      </c>
      <c r="H17" s="27">
        <f>IF(A17=" "," ",IF(A17="totals",SUM($H$9:$H16),+G17*($G$7/100)))</f>
        <v>4131.4568722793829</v>
      </c>
    </row>
    <row r="18" spans="1:8" ht="15.75">
      <c r="A18" s="37">
        <f t="shared" si="1"/>
        <v>9</v>
      </c>
      <c r="B18" s="92">
        <f t="shared" si="0"/>
        <v>231857.26002070063</v>
      </c>
      <c r="C18" s="92">
        <f>IF(A18=" "," ",IF(A18="totals",SUM($C$10:C17),($C$7*12)*(A18-A17)))</f>
        <v>18191.959603157971</v>
      </c>
      <c r="D18" s="92">
        <f>IF(A18=" "," ",IF(A18="totals",SUM($D$10:D17),$E$7*12))</f>
        <v>0</v>
      </c>
      <c r="E18" s="92">
        <f>IF($A18=" "," ",IF($A18="Totals",SUM($E$9:$E17),$C18+$D18))</f>
        <v>18191.959603157971</v>
      </c>
      <c r="F18" s="98">
        <f>IF($A18=" "," ",IF($A18="totals",SUM($F$9:$F17),$B18-$B19))</f>
        <v>5579.0556370928825</v>
      </c>
      <c r="G18" s="92">
        <f t="shared" si="2"/>
        <v>12612.903966065089</v>
      </c>
      <c r="H18" s="27">
        <f>IF(A18=" "," ",IF(A18="totals",SUM($H$9:$H17),+G18*($G$7/100)))</f>
        <v>4036.1292691408285</v>
      </c>
    </row>
    <row r="19" spans="1:8" ht="15.75">
      <c r="A19" s="37">
        <f t="shared" si="1"/>
        <v>10</v>
      </c>
      <c r="B19" s="92">
        <f t="shared" si="0"/>
        <v>226278.20438360775</v>
      </c>
      <c r="C19" s="92">
        <f>IF(A19=" "," ",IF(A19="totals",SUM($C$10:C18),($C$7*12)*(A19-A18)))</f>
        <v>18191.959603157971</v>
      </c>
      <c r="D19" s="92">
        <f>IF(A19=" "," ",IF(A19="totals",SUM($D$10:D18),$E$7*12))</f>
        <v>0</v>
      </c>
      <c r="E19" s="92">
        <f>IF($A19=" "," ",IF($A19="Totals",SUM($E$9:$E18),$C19+$D19))</f>
        <v>18191.959603157971</v>
      </c>
      <c r="F19" s="98">
        <f>IF($A19=" "," ",IF($A19="totals",SUM($F$9:$F18),$B19-$B20))</f>
        <v>5893.758228553168</v>
      </c>
      <c r="G19" s="92">
        <f t="shared" si="2"/>
        <v>12298.201374604803</v>
      </c>
      <c r="H19" s="27">
        <f>IF(A19=" "," ",IF(A19="totals",SUM($H$9:$H18),+G19*($G$7/100)))</f>
        <v>3935.4244398735373</v>
      </c>
    </row>
    <row r="20" spans="1:8" ht="15.75">
      <c r="A20" s="37">
        <f t="shared" si="1"/>
        <v>11</v>
      </c>
      <c r="B20" s="92">
        <f t="shared" si="0"/>
        <v>220384.44615505458</v>
      </c>
      <c r="C20" s="92">
        <f>IF(A20=" "," ",IF(A20="totals",SUM($C$10:C19),($C$7*12)*(A20-A19)))</f>
        <v>18191.959603157971</v>
      </c>
      <c r="D20" s="92">
        <f>IF(A20=" "," ",IF(A20="totals",SUM($D$10:D19),$E$7*12))</f>
        <v>0</v>
      </c>
      <c r="E20" s="92">
        <f>IF($A20=" "," ",IF($A20="Totals",SUM($E$9:$E19),$C20+$D20))</f>
        <v>18191.959603157971</v>
      </c>
      <c r="F20" s="98">
        <f>IF($A20=" "," ",IF($A20="totals",SUM($F$9:$F19),$B20-$B21))</f>
        <v>6226.2125198555004</v>
      </c>
      <c r="G20" s="92">
        <f t="shared" si="2"/>
        <v>11965.747083302471</v>
      </c>
      <c r="H20" s="27">
        <f>IF(A20=" "," ",IF(A20="totals",SUM($H$9:$H19),+G20*($G$7/100)))</f>
        <v>3829.039066656791</v>
      </c>
    </row>
    <row r="21" spans="1:8" ht="15.75">
      <c r="A21" s="37">
        <f t="shared" si="1"/>
        <v>12</v>
      </c>
      <c r="B21" s="92">
        <f t="shared" si="0"/>
        <v>214158.23363519908</v>
      </c>
      <c r="C21" s="92">
        <f>IF(A21=" "," ",IF(A21="totals",SUM($C$10:C20),($C$7*12)*(A21-A20)))</f>
        <v>18191.959603157971</v>
      </c>
      <c r="D21" s="92">
        <f>IF(A21=" "," ",IF(A21="totals",SUM($D$10:D20),$E$7*12))</f>
        <v>0</v>
      </c>
      <c r="E21" s="92">
        <f>IF($A21=" "," ",IF($A21="Totals",SUM($E$9:$E20),$C21+$D21))</f>
        <v>18191.959603157971</v>
      </c>
      <c r="F21" s="98">
        <f>IF($A21=" "," ",IF($A21="totals",SUM($F$9:$F20),$B21-$B22))</f>
        <v>6577.4198464061774</v>
      </c>
      <c r="G21" s="92">
        <f t="shared" si="2"/>
        <v>11614.539756751794</v>
      </c>
      <c r="H21" s="27">
        <f>IF(A21=" "," ",IF(A21="totals",SUM($H$9:$H20),+G21*($G$7/100)))</f>
        <v>3716.6527221605743</v>
      </c>
    </row>
    <row r="22" spans="1:8" ht="15.75">
      <c r="A22" s="37">
        <f t="shared" si="1"/>
        <v>13</v>
      </c>
      <c r="B22" s="92">
        <f t="shared" si="0"/>
        <v>207580.8137887929</v>
      </c>
      <c r="C22" s="92">
        <f>IF(A22=" "," ",IF(A22="totals",SUM($C$10:C21),($C$7*12)*(A22-A21)))</f>
        <v>18191.959603157971</v>
      </c>
      <c r="D22" s="92">
        <f>IF(A22=" "," ",IF(A22="totals",SUM($D$10:D21),$E$7*12))</f>
        <v>0</v>
      </c>
      <c r="E22" s="92">
        <f>IF($A22=" "," ",IF($A22="Totals",SUM($E$9:$E21),$C22+$D22))</f>
        <v>18191.959603157971</v>
      </c>
      <c r="F22" s="98">
        <f>IF($A22=" "," ",IF($A22="totals",SUM($F$9:$F21),$B22-$B23))</f>
        <v>6948.4380267992965</v>
      </c>
      <c r="G22" s="92">
        <f>IF($A22=" "," ",IF($A22="totals",SUM($G$10:G21),IF($A21="Totals"," ",$E22-$F22)))</f>
        <v>11243.521576358675</v>
      </c>
      <c r="H22" s="27">
        <f>IF(A22=" "," ",IF(A22="totals",SUM($H$9:$H21),+G22*($G$7/100)))</f>
        <v>3597.9269044347761</v>
      </c>
    </row>
    <row r="23" spans="1:8" ht="15.75">
      <c r="A23" s="37">
        <f t="shared" si="1"/>
        <v>14</v>
      </c>
      <c r="B23" s="92">
        <f t="shared" si="0"/>
        <v>200632.37576199361</v>
      </c>
      <c r="C23" s="92">
        <f>IF(A23=" "," ",IF(A23="totals",SUM($C$10:C22),($C$7*12)*(A23-A22)))</f>
        <v>18191.959603157971</v>
      </c>
      <c r="D23" s="92">
        <f>IF(A23=" "," ",IF(A23="totals",SUM($D$10:D22),$E$7*12))</f>
        <v>0</v>
      </c>
      <c r="E23" s="92">
        <f>IF($A23=" "," ",IF($A23="Totals",SUM($E$9:$E22),$C23+$D23))</f>
        <v>18191.959603157971</v>
      </c>
      <c r="F23" s="98">
        <f>IF($A23=" "," ",IF($A23="totals",SUM($F$9:$F22),$B23-$B24))</f>
        <v>7340.3845489125524</v>
      </c>
      <c r="G23" s="92">
        <f>IF($A23=" "," ",IF($A23="totals",SUM($G$10:G22),IF($A22="Totals"," ",$E23-$F23)))</f>
        <v>10851.575054245419</v>
      </c>
      <c r="H23" s="27">
        <f>IF(A23=" "," ",IF(A23="totals",SUM($H$9:$H22),+G23*($G$7/100)))</f>
        <v>3472.5040173585339</v>
      </c>
    </row>
    <row r="24" spans="1:8" ht="15.75">
      <c r="A24" s="37">
        <f t="shared" si="1"/>
        <v>15</v>
      </c>
      <c r="B24" s="92">
        <f t="shared" si="0"/>
        <v>193291.99121308106</v>
      </c>
      <c r="C24" s="92">
        <f>IF(A24=" "," ",IF(A24="totals",SUM($C$10:C23),($C$7*12)*(A24-A23)))</f>
        <v>18191.959603157971</v>
      </c>
      <c r="D24" s="92">
        <f>IF(A24=" "," ",IF(A24="totals",SUM($D$10:D23),$E$7*12))</f>
        <v>0</v>
      </c>
      <c r="E24" s="92">
        <f>IF($A24=" "," ",IF($A24="Totals",SUM($E$9:$E23),$C24+$D24))</f>
        <v>18191.959603157971</v>
      </c>
      <c r="F24" s="98">
        <f>IF($A24=" "," ",IF($A24="totals",SUM($F$9:$F23),$B24-$B25))</f>
        <v>7754.4399357237562</v>
      </c>
      <c r="G24" s="92">
        <f t="shared" si="2"/>
        <v>10437.519667434215</v>
      </c>
      <c r="H24" s="27">
        <f>IF(A24=" "," ",IF(A24="totals",SUM($H$9:$H23),+G24*($G$7/100)))</f>
        <v>3340.0062935789488</v>
      </c>
    </row>
    <row r="25" spans="1:8" ht="15.75">
      <c r="A25" s="37">
        <f t="shared" si="1"/>
        <v>16</v>
      </c>
      <c r="B25" s="92">
        <f t="shared" si="0"/>
        <v>185537.5512773573</v>
      </c>
      <c r="C25" s="92">
        <f>IF(A25=" "," ",IF(A25="totals",SUM($C$10:C24),($C$7*12)*(A25-A24)))</f>
        <v>18191.959603157971</v>
      </c>
      <c r="D25" s="92">
        <f>IF(A25=" "," ",IF(A25="totals",SUM($D$10:D24),$E$7*12))</f>
        <v>0</v>
      </c>
      <c r="E25" s="92">
        <f>IF($A25=" "," ",IF($A25="Totals",SUM($E$9:$E24),$C25+$D25))</f>
        <v>18191.959603157971</v>
      </c>
      <c r="F25" s="98">
        <f>IF($A25=" "," ",IF($A25="totals",SUM($F$9:$F24),$B25-$B26))</f>
        <v>8191.8513009860762</v>
      </c>
      <c r="G25" s="92">
        <f t="shared" si="2"/>
        <v>10000.108302171895</v>
      </c>
      <c r="H25" s="27">
        <f>IF(A25=" "," ",IF(A25="totals",SUM($H$9:$H24),+G25*($G$7/100)))</f>
        <v>3200.0346566950066</v>
      </c>
    </row>
    <row r="26" spans="1:8" ht="15.75">
      <c r="A26" s="37">
        <f t="shared" si="1"/>
        <v>17</v>
      </c>
      <c r="B26" s="92">
        <f t="shared" si="0"/>
        <v>177345.69997637122</v>
      </c>
      <c r="C26" s="92">
        <f>IF(A26=" "," ",IF(A26="totals",SUM($C$10:C25),($C$7*12)*(A26-A25)))</f>
        <v>18191.959603157971</v>
      </c>
      <c r="D26" s="92">
        <f>IF(A26=" "," ",IF(A26="totals",SUM($D$10:D25),$E$7*12))</f>
        <v>0</v>
      </c>
      <c r="E26" s="92">
        <f>IF($A26=" "," ",IF($A26="Totals",SUM($E$9:$E25),$C26+$D26))</f>
        <v>18191.959603157971</v>
      </c>
      <c r="F26" s="98">
        <f>IF($A26=" "," ",IF($A26="totals",SUM($F$9:$F25),$B26-$B27))</f>
        <v>8653.9361054711626</v>
      </c>
      <c r="G26" s="92">
        <f t="shared" si="2"/>
        <v>9538.0234976868087</v>
      </c>
      <c r="H26" s="27">
        <f>IF(A26=" "," ",IF(A26="totals",SUM($H$9:$H25),+G26*($G$7/100)))</f>
        <v>3052.1675192597791</v>
      </c>
    </row>
    <row r="27" spans="1:8" ht="15.75">
      <c r="A27" s="37">
        <f t="shared" si="1"/>
        <v>18</v>
      </c>
      <c r="B27" s="92">
        <f t="shared" ref="B27:B42" si="3">IF(A27=" "," ",FV($E$4/100/12,(A26-A25)*12,$E$10/12,-B26))</f>
        <v>168691.76387090006</v>
      </c>
      <c r="C27" s="92">
        <f>IF(A27=" "," ",IF(A27="totals",SUM($C$10:C26),($C$7*12)*(A27-A26)))</f>
        <v>18191.959603157971</v>
      </c>
      <c r="D27" s="92">
        <f>IF(A27=" "," ",IF(A27="totals",SUM($D$10:D26),$E$7*12))</f>
        <v>0</v>
      </c>
      <c r="E27" s="92">
        <f>IF($A27=" "," ",IF($A27="Totals",SUM($E$9:$E26),$C27+$D27))</f>
        <v>18191.959603157971</v>
      </c>
      <c r="F27" s="98">
        <f>IF($A27=" "," ",IF($A27="totals",SUM($F$9:$F26),$B27-$B28))</f>
        <v>9142.0861250939197</v>
      </c>
      <c r="G27" s="92">
        <f t="shared" si="2"/>
        <v>9049.8734780640516</v>
      </c>
      <c r="H27" s="27">
        <f>IF(A27=" "," ",IF(A27="totals",SUM($H$9:$H26),+G27*($G$7/100)))</f>
        <v>2895.9595129804966</v>
      </c>
    </row>
    <row r="28" spans="1:8" ht="15.75">
      <c r="A28" s="37">
        <f t="shared" ref="A28:A43" si="4">IF(A27=" "," ",IF(A27="Totals"," ",IF(A27=$G$4,"Totals",IF(A27&gt;$G$4-1,$G$4,A27+1))))</f>
        <v>19</v>
      </c>
      <c r="B28" s="92">
        <f t="shared" si="3"/>
        <v>159549.67774580614</v>
      </c>
      <c r="C28" s="92">
        <f>IF(A28=" "," ",IF(A28="totals",SUM($C$10:C27),($C$7*12)*(A28-A27)))</f>
        <v>18191.959603157971</v>
      </c>
      <c r="D28" s="92">
        <f>IF(A28=" "," ",IF(A28="totals",SUM($D$10:D27),$E$7*12))</f>
        <v>0</v>
      </c>
      <c r="E28" s="92">
        <f>IF($A28=" "," ",IF($A28="Totals",SUM($E$9:$E27),$C28+$D28))</f>
        <v>18191.959603157971</v>
      </c>
      <c r="F28" s="98">
        <f>IF($A28=" "," ",IF($A28="totals",SUM($F$9:$F27),$B28-$B29))</f>
        <v>9657.7716428707645</v>
      </c>
      <c r="G28" s="92">
        <f t="shared" ref="G28:G43" si="5">IF($A28=" "," ",IF($A28="totals",SUM($G$10),IF($A27="Totals"," ",$E28-$F28)))</f>
        <v>8534.1879602872068</v>
      </c>
      <c r="H28" s="27">
        <f>IF(A28=" "," ",IF(A28="totals",SUM($H$9:$H27),+G28*($G$7/100)))</f>
        <v>2730.9401472919062</v>
      </c>
    </row>
    <row r="29" spans="1:8" ht="15.75">
      <c r="A29" s="37">
        <f t="shared" si="4"/>
        <v>20</v>
      </c>
      <c r="B29" s="92">
        <f t="shared" si="3"/>
        <v>149891.90610293538</v>
      </c>
      <c r="C29" s="92">
        <f>IF(A29=" "," ",IF(A29="totals",SUM($C$10:C28),($C$7*12)*(A29-A28)))</f>
        <v>18191.959603157971</v>
      </c>
      <c r="D29" s="92">
        <f>IF(A29=" "," ",IF(A29="totals",SUM($D$10:D28),$E$7*12))</f>
        <v>0</v>
      </c>
      <c r="E29" s="92">
        <f>IF($A29=" "," ",IF($A29="Totals",SUM($E$9:$E28),$C29+$D29))</f>
        <v>18191.959603157971</v>
      </c>
      <c r="F29" s="98">
        <f>IF($A29=" "," ",IF($A29="totals",SUM($F$9:$F28),$B29-$B30))</f>
        <v>10202.545877337194</v>
      </c>
      <c r="G29" s="92">
        <f t="shared" si="5"/>
        <v>7989.4137258207775</v>
      </c>
      <c r="H29" s="27">
        <f>IF(A29=" "," ",IF(A29="totals",SUM($H$9:$H28),+G29*($G$7/100)))</f>
        <v>2556.6123922626489</v>
      </c>
    </row>
    <row r="30" spans="1:8" ht="15.75">
      <c r="A30" s="37">
        <f t="shared" si="4"/>
        <v>21</v>
      </c>
      <c r="B30" s="92">
        <f t="shared" si="3"/>
        <v>139689.36022559818</v>
      </c>
      <c r="C30" s="92">
        <f>IF(A30=" "," ",IF(A30="totals",SUM($C$10:C29),($C$7*12)*(A30-A29)))</f>
        <v>18191.959603157971</v>
      </c>
      <c r="D30" s="92">
        <f>IF(A30=" "," ",IF(A30="totals",SUM($D$10:D29),$E$7*12))</f>
        <v>0</v>
      </c>
      <c r="E30" s="92">
        <f>IF($A30=" "," ",IF($A30="Totals",SUM($E$9:$E29),$C30+$D30))</f>
        <v>18191.959603157971</v>
      </c>
      <c r="F30" s="98">
        <f>IF($A30=" "," ",IF($A30="totals",SUM($F$9:$F29),$B30-$B31))</f>
        <v>10778.049660763034</v>
      </c>
      <c r="G30" s="92">
        <f t="shared" si="5"/>
        <v>7413.9099423949374</v>
      </c>
      <c r="H30" s="27">
        <f>IF(A30=" "," ",IF(A30="totals",SUM($H$9:$H29),+G30*($G$7/100)))</f>
        <v>2372.45118156638</v>
      </c>
    </row>
    <row r="31" spans="1:8" ht="15.75">
      <c r="A31" s="37">
        <f t="shared" si="4"/>
        <v>22</v>
      </c>
      <c r="B31" s="92">
        <f t="shared" si="3"/>
        <v>128911.31056483515</v>
      </c>
      <c r="C31" s="92">
        <f>IF(A31=" "," ",IF(A31="totals",SUM($C$10:C30),($C$7*12)*(A31-A30)))</f>
        <v>18191.959603157971</v>
      </c>
      <c r="D31" s="92">
        <f>IF(A31=" "," ",IF(A31="totals",SUM($D$10:D30),$E$7*12))</f>
        <v>0</v>
      </c>
      <c r="E31" s="92">
        <f>IF($A31=" "," ",IF($A31="Totals",SUM($E$9:$E30),$C31+$D31))</f>
        <v>18191.959603157971</v>
      </c>
      <c r="F31" s="98">
        <f>IF($A31=" "," ",IF($A31="totals",SUM($F$9:$F30),$B31-$B32))</f>
        <v>11386.016381255729</v>
      </c>
      <c r="G31" s="92">
        <f t="shared" si="5"/>
        <v>6805.9432219022419</v>
      </c>
      <c r="H31" s="27">
        <f>IF(A31=" "," ",IF(A31="totals",SUM($H$9:$H30),+G31*($G$7/100)))</f>
        <v>2177.9018310087176</v>
      </c>
    </row>
    <row r="32" spans="1:8" ht="15.75">
      <c r="A32" s="37">
        <f t="shared" si="4"/>
        <v>23</v>
      </c>
      <c r="B32" s="92">
        <f t="shared" si="3"/>
        <v>117525.29418357942</v>
      </c>
      <c r="C32" s="92">
        <f>IF(A32=" "," ",IF(A32="totals",SUM($C$10:C31),($C$7*12)*(A32-A31)))</f>
        <v>18191.959603157971</v>
      </c>
      <c r="D32" s="92">
        <f>IF(A32=" "," ",IF(A32="totals",SUM($D$10:D31),$E$7*12))</f>
        <v>0</v>
      </c>
      <c r="E32" s="92">
        <f>IF($A32=" "," ",IF($A32="Totals",SUM($E$9:$E31),$C32+$D32))</f>
        <v>18191.959603157971</v>
      </c>
      <c r="F32" s="98">
        <f>IF($A32=" "," ",IF($A32="totals",SUM($F$9:$F31),$B32-$B33))</f>
        <v>12028.27720363703</v>
      </c>
      <c r="G32" s="92">
        <f t="shared" si="5"/>
        <v>6163.6823995209415</v>
      </c>
      <c r="H32" s="27">
        <f>IF(A32=" "," ",IF(A32="totals",SUM($H$9:$H31),+G32*($G$7/100)))</f>
        <v>1972.3783678467014</v>
      </c>
    </row>
    <row r="33" spans="1:8" ht="15.75">
      <c r="A33" s="37">
        <f t="shared" si="4"/>
        <v>24</v>
      </c>
      <c r="B33" s="92">
        <f t="shared" si="3"/>
        <v>105497.01697994239</v>
      </c>
      <c r="C33" s="92">
        <f>IF(A33=" "," ",IF(A33="totals",SUM($C$10:C32),($C$7*12)*(A33-A32)))</f>
        <v>18191.959603157971</v>
      </c>
      <c r="D33" s="92">
        <f>IF(A33=" "," ",IF(A33="totals",SUM($D$10:D32),$E$7*12))</f>
        <v>0</v>
      </c>
      <c r="E33" s="92">
        <f>IF($A33=" "," ",IF($A33="Totals",SUM($E$9:$E32),$C33+$D33))</f>
        <v>18191.959603157971</v>
      </c>
      <c r="F33" s="98">
        <f>IF($A33=" "," ",IF($A33="totals",SUM($F$9:$F32),$B33-$B34))</f>
        <v>12706.766584818295</v>
      </c>
      <c r="G33" s="92">
        <f t="shared" si="5"/>
        <v>5485.1930183396762</v>
      </c>
      <c r="H33" s="27">
        <f>IF(A33=" "," ",IF(A33="totals",SUM($H$9:$H32),+G33*($G$7/100)))</f>
        <v>1755.2617658686963</v>
      </c>
    </row>
    <row r="34" spans="1:8" ht="15.75">
      <c r="A34" s="37">
        <f t="shared" si="4"/>
        <v>25</v>
      </c>
      <c r="B34" s="92">
        <f t="shared" si="3"/>
        <v>92790.250395124094</v>
      </c>
      <c r="C34" s="92">
        <f>IF(A34=" "," ",IF(A34="totals",SUM($C$10:C33),($C$7*12)*(A34-A33)))</f>
        <v>18191.959603157971</v>
      </c>
      <c r="D34" s="92">
        <f>IF(A34=" "," ",IF(A34="totals",SUM($D$10:D33),$E$7*12))</f>
        <v>0</v>
      </c>
      <c r="E34" s="92">
        <f>IF($A34=" "," ",IF($A34="Totals",SUM($E$9:$E33),$C34+$D34))</f>
        <v>18191.959603157971</v>
      </c>
      <c r="F34" s="98">
        <f>IF($A34=" "," ",IF($A34="totals",SUM($F$9:$F33),$B34-$B35))</f>
        <v>13423.528100286319</v>
      </c>
      <c r="G34" s="92">
        <f t="shared" si="5"/>
        <v>4768.4315028716519</v>
      </c>
      <c r="H34" s="27">
        <f>IF(A34=" "," ",IF(A34="totals",SUM($H$9:$H33),+G34*($G$7/100)))</f>
        <v>1525.8980809189286</v>
      </c>
    </row>
    <row r="35" spans="1:8" ht="15.75">
      <c r="A35" s="37">
        <f t="shared" si="4"/>
        <v>26</v>
      </c>
      <c r="B35" s="92">
        <f t="shared" si="3"/>
        <v>79366.722294837775</v>
      </c>
      <c r="C35" s="92">
        <f>IF(A35=" "," ",IF(A35="totals",SUM($C$10:C34),($C$7*12)*(A35-A34)))</f>
        <v>18191.959603157971</v>
      </c>
      <c r="D35" s="92">
        <f>IF(A35=" "," ",IF(A35="totals",SUM($D$10:D34),$E$7*12))</f>
        <v>0</v>
      </c>
      <c r="E35" s="92">
        <f>IF($A35=" "," ",IF($A35="Totals",SUM($E$9:$E34),$C35+$D35))</f>
        <v>18191.959603157971</v>
      </c>
      <c r="F35" s="98">
        <f>IF($A35=" "," ",IF($A35="totals",SUM($F$9:$F34),$B35-$B36))</f>
        <v>14180.720599248583</v>
      </c>
      <c r="G35" s="92">
        <f t="shared" si="5"/>
        <v>4011.239003909388</v>
      </c>
      <c r="H35" s="27">
        <f>IF(A35=" "," ",IF(A35="totals",SUM($H$9:$H34),+G35*($G$7/100)))</f>
        <v>1283.5964812510042</v>
      </c>
    </row>
    <row r="36" spans="1:8" ht="15.75">
      <c r="A36" s="37">
        <f t="shared" si="4"/>
        <v>27</v>
      </c>
      <c r="B36" s="92">
        <f t="shared" si="3"/>
        <v>65186.001695589192</v>
      </c>
      <c r="C36" s="92">
        <f>IF(A36=" "," ",IF(A36="totals",SUM($C$10:C35),($C$7*12)*(A36-A35)))</f>
        <v>18191.959603157971</v>
      </c>
      <c r="D36" s="92">
        <f>IF(A36=" "," ",IF(A36="totals",SUM($D$10:D35),$E$7*12))</f>
        <v>0</v>
      </c>
      <c r="E36" s="92">
        <f>IF($A36=" "," ",IF($A36="Totals",SUM($E$9:$E35),$C36+$D36))</f>
        <v>18191.959603157971</v>
      </c>
      <c r="F36" s="98">
        <f>IF($A36=" "," ",IF($A36="totals",SUM($F$9:$F35),$B36-$B37))</f>
        <v>14980.62470697728</v>
      </c>
      <c r="G36" s="92">
        <f t="shared" si="5"/>
        <v>3211.3348961806914</v>
      </c>
      <c r="H36" s="27">
        <f>IF(A36=" "," ",IF(A36="totals",SUM($H$9:$H35),+G36*($G$7/100)))</f>
        <v>1027.6271667778212</v>
      </c>
    </row>
    <row r="37" spans="1:8" ht="15.75">
      <c r="A37" s="37">
        <f t="shared" si="4"/>
        <v>28</v>
      </c>
      <c r="B37" s="92">
        <f t="shared" si="3"/>
        <v>50205.376988611912</v>
      </c>
      <c r="C37" s="92">
        <f>IF(A37=" "," ",IF(A37="totals",SUM($C$10:C36),($C$7*12)*(A37-A36)))</f>
        <v>18191.959603157971</v>
      </c>
      <c r="D37" s="92">
        <f>IF(A37=" "," ",IF(A37="totals",SUM($D$10:D36),$E$7*12))</f>
        <v>0</v>
      </c>
      <c r="E37" s="92">
        <f>IF($A37=" "," ",IF($A37="Totals",SUM($E$9:$E36),$C37+$D37))</f>
        <v>18191.959603157971</v>
      </c>
      <c r="F37" s="98">
        <f>IF($A37=" "," ",IF($A37="totals",SUM($F$9:$F36),$B37-$B38))</f>
        <v>15825.649693936553</v>
      </c>
      <c r="G37" s="92">
        <f t="shared" si="5"/>
        <v>2366.3099092214179</v>
      </c>
      <c r="H37" s="27">
        <f>IF(A37=" "," ",IF(A37="totals",SUM($H$9:$H36),+G37*($G$7/100)))</f>
        <v>757.21917095085371</v>
      </c>
    </row>
    <row r="38" spans="1:8" ht="15.75">
      <c r="A38" s="37">
        <f t="shared" si="4"/>
        <v>29</v>
      </c>
      <c r="B38" s="92">
        <f t="shared" si="3"/>
        <v>34379.727294675358</v>
      </c>
      <c r="C38" s="92">
        <f>IF(A38=" "," ",IF(A38="totals",SUM($C$10:C37),($C$7*12)*(A38-A37)))</f>
        <v>18191.959603157971</v>
      </c>
      <c r="D38" s="92">
        <f>IF(A38=" "," ",IF(A38="totals",SUM($D$10:D37),$E$7*12))</f>
        <v>0</v>
      </c>
      <c r="E38" s="92">
        <f>IF($A38=" "," ",IF($A38="Totals",SUM($E$9:$E37),$C38+$D38))</f>
        <v>18191.959603157971</v>
      </c>
      <c r="F38" s="98">
        <f>IF($A38=" "," ",IF($A38="totals",SUM($F$9:$F37),$B38-$B39))</f>
        <v>16718.340732382516</v>
      </c>
      <c r="G38" s="92">
        <f t="shared" si="5"/>
        <v>1473.6188707754554</v>
      </c>
      <c r="H38" s="27">
        <f>IF(A38=" "," ",IF(A38="totals",SUM($H$9:$H37),+G38*($G$7/100)))</f>
        <v>471.55803864814573</v>
      </c>
    </row>
    <row r="39" spans="1:8" ht="15.75">
      <c r="A39" s="37">
        <f t="shared" si="4"/>
        <v>30</v>
      </c>
      <c r="B39" s="92">
        <f t="shared" si="3"/>
        <v>17661.386562292842</v>
      </c>
      <c r="C39" s="92">
        <f>IF(A39=" "," ",IF(A39="totals",SUM($C$10:C38),($C$7*12)*(A39-A38)))</f>
        <v>18191.959603157971</v>
      </c>
      <c r="D39" s="92">
        <f>IF(A39=" "," ",IF(A39="totals",SUM($D$10:D38),$E$7*12))</f>
        <v>0</v>
      </c>
      <c r="E39" s="92">
        <f>IF($A39=" "," ",IF($A39="Totals",SUM($E$9:$E38),$C39+$D39))</f>
        <v>18191.959603157971</v>
      </c>
      <c r="F39" s="98">
        <f>IF($A39=" "," ",IF($A39="totals",SUM($F$9:$F38),$B39-$B40))</f>
        <v>17661.386562292562</v>
      </c>
      <c r="G39" s="92">
        <f t="shared" si="5"/>
        <v>530.57304086540898</v>
      </c>
      <c r="H39" s="27">
        <f>IF(A39=" "," ",IF(A39="totals",SUM($H$9:$H38),+G39*($G$7/100)))</f>
        <v>169.78337307693087</v>
      </c>
    </row>
    <row r="40" spans="1:8" ht="15.75">
      <c r="A40" s="37" t="str">
        <f t="shared" si="4"/>
        <v>Totals</v>
      </c>
      <c r="B40" s="92">
        <f t="shared" si="3"/>
        <v>2.801243681460619E-10</v>
      </c>
      <c r="C40" s="92">
        <f>IF(A40=" "," ",IF(A40="totals",SUM($C$10:C39),($C$7*12)*(A40-A39)))</f>
        <v>545758.78809473873</v>
      </c>
      <c r="D40" s="92">
        <f>IF(A40=" "," ",IF(A40="totals",SUM($D$10:D39),$E$7*12))</f>
        <v>0</v>
      </c>
      <c r="E40" s="92">
        <f>IF($A40=" "," ",IF($A40="Totals",SUM($E$9:$E39),$C40+$D40))</f>
        <v>545758.78809473873</v>
      </c>
      <c r="F40" s="98">
        <f>IF($A40=" "," ",IF($A40="totals",SUM($F$9:$F39),$B40-$B41))</f>
        <v>266999.99999999977</v>
      </c>
      <c r="G40" s="92">
        <f>IF($A40=" "," ",IF($A40="totals",SUM($G$10:G39),IF($A39="Totals"," ",$E40-$F40)))</f>
        <v>278758.78809473943</v>
      </c>
      <c r="H40" s="27">
        <f>IF(A40=" "," ",IF(A40="totals",SUM($H$9:$H39),+G40*($G$7/100)))</f>
        <v>89202.812190316603</v>
      </c>
    </row>
    <row r="41" spans="1:8" ht="15.75">
      <c r="A41" s="37" t="str">
        <f t="shared" si="4"/>
        <v xml:space="preserve"> </v>
      </c>
      <c r="B41" s="92" t="str">
        <f t="shared" si="3"/>
        <v xml:space="preserve"> </v>
      </c>
      <c r="C41" s="92" t="str">
        <f>IF(A41=" "," ",IF(A41="totals",SUM($C$10:C40),($C$7*12)*(A41-A40)))</f>
        <v xml:space="preserve"> </v>
      </c>
      <c r="D41" s="92" t="str">
        <f>IF(A41=" "," ",IF(A41="totals",SUM($D$10:D40),$E$7*12))</f>
        <v xml:space="preserve"> </v>
      </c>
      <c r="E41" s="92" t="str">
        <f>IF($A41=" "," ",IF($A41="Totals",SUM($E$9:$E40),$C41+$D41))</f>
        <v xml:space="preserve"> </v>
      </c>
      <c r="F41" s="98" t="str">
        <f>IF($A41=" "," ",IF($A41="totals",SUM($F$9:$F40),$B41-$B42))</f>
        <v xml:space="preserve"> </v>
      </c>
      <c r="G41" s="92" t="str">
        <f t="shared" si="5"/>
        <v xml:space="preserve"> </v>
      </c>
      <c r="H41" s="27" t="str">
        <f>IF(A41=" "," ",IF(A41="totals",SUM($H$9:$H40),+G41*($G$7/100)))</f>
        <v xml:space="preserve"> </v>
      </c>
    </row>
    <row r="42" spans="1:8" ht="15.75">
      <c r="A42" s="37" t="str">
        <f t="shared" si="4"/>
        <v xml:space="preserve"> </v>
      </c>
      <c r="B42" s="92" t="str">
        <f t="shared" si="3"/>
        <v xml:space="preserve"> </v>
      </c>
      <c r="C42" s="92" t="str">
        <f>IF(A42=" "," ",IF(A42="totals",SUM($C$10:C41),($C$7*12)*(A42-A41)))</f>
        <v xml:space="preserve"> </v>
      </c>
      <c r="D42" s="92" t="str">
        <f>IF(A42=" "," ",IF(A42="totals",SUM($D$10:D41),$E$7*12))</f>
        <v xml:space="preserve"> </v>
      </c>
      <c r="E42" s="92" t="str">
        <f>IF($A42=" "," ",IF($A42="Totals",SUM($E$9:$E41),$C42+$D42))</f>
        <v xml:space="preserve"> </v>
      </c>
      <c r="F42" s="98" t="str">
        <f>IF($A42=" "," ",IF($A42="totals",SUM($F$9:$F41),$B42-$B43))</f>
        <v xml:space="preserve"> </v>
      </c>
      <c r="G42" s="92" t="str">
        <f t="shared" si="5"/>
        <v xml:space="preserve"> </v>
      </c>
      <c r="H42" s="27" t="str">
        <f>IF(A42=" "," ",IF(A42="totals",SUM($H$9:$H41),+G42*($G$7/100)))</f>
        <v xml:space="preserve"> </v>
      </c>
    </row>
    <row r="43" spans="1:8" ht="15.75">
      <c r="A43" s="37" t="str">
        <f t="shared" si="4"/>
        <v xml:space="preserve"> </v>
      </c>
      <c r="B43" s="92" t="str">
        <f t="shared" ref="B43:B58" si="6">IF(A43=" "," ",FV($E$4/100/12,(A42-A41)*12,$E$10/12,-B42))</f>
        <v xml:space="preserve"> </v>
      </c>
      <c r="C43" s="92" t="str">
        <f>IF(A43=" "," ",IF(A43="totals",SUM($C$10:C42),($C$7*12)*(A43-A42)))</f>
        <v xml:space="preserve"> </v>
      </c>
      <c r="D43" s="92" t="str">
        <f>IF(A43=" "," ",IF(A43="totals",SUM($D$10:D42),$E$7*12))</f>
        <v xml:space="preserve"> </v>
      </c>
      <c r="E43" s="92" t="str">
        <f>IF($A43=" "," ",IF($A43="Totals",SUM($E$9:$E42),$C43+$D43))</f>
        <v xml:space="preserve"> </v>
      </c>
      <c r="F43" s="98" t="str">
        <f>IF($A43=" "," ",IF($A43="totals",SUM($F$9:$F42),$B43-$B44))</f>
        <v xml:space="preserve"> </v>
      </c>
      <c r="G43" s="92" t="str">
        <f t="shared" si="5"/>
        <v xml:space="preserve"> </v>
      </c>
      <c r="H43" s="27" t="str">
        <f>IF(A43=" "," ",IF(A43="totals",SUM($H$9:$H42),+G43*($G$7/100)))</f>
        <v xml:space="preserve"> </v>
      </c>
    </row>
    <row r="44" spans="1:8" ht="15.75">
      <c r="A44" s="37" t="str">
        <f t="shared" ref="A44:A59" si="7">IF(A43=" "," ",IF(A43="Totals"," ",IF(A43=$G$4,"Totals",IF(A43&gt;$G$4-1,$G$4,A43+1))))</f>
        <v xml:space="preserve"> </v>
      </c>
      <c r="B44" s="92" t="str">
        <f t="shared" si="6"/>
        <v xml:space="preserve"> </v>
      </c>
      <c r="C44" s="92" t="str">
        <f>IF(A44=" "," ",IF(A44="totals",SUM($C$10:C43),($C$7*12)*(A44-A43)))</f>
        <v xml:space="preserve"> </v>
      </c>
      <c r="D44" s="92" t="str">
        <f>IF(A44=" "," ",IF(A44="totals",SUM($D$10:D43),$E$7*12))</f>
        <v xml:space="preserve"> </v>
      </c>
      <c r="E44" s="92" t="str">
        <f>IF($A44=" "," ",IF($A44="Totals",SUM($E$9:$E43),$C44+$D44))</f>
        <v xml:space="preserve"> </v>
      </c>
      <c r="F44" s="98" t="str">
        <f>IF($A44=" "," ",IF($A44="totals",SUM($F$9:$F43),$B44-$B45))</f>
        <v xml:space="preserve"> </v>
      </c>
      <c r="G44" s="92" t="str">
        <f t="shared" ref="G44:G59" si="8">IF($A44=" "," ",IF($A44="totals",SUM($G$10),IF($A43="Totals"," ",$E44-$F44)))</f>
        <v xml:space="preserve"> </v>
      </c>
      <c r="H44" s="27" t="str">
        <f>IF(A44=" "," ",IF(A44="totals",SUM($H$9:$H43),+G44*($G$7/100)))</f>
        <v xml:space="preserve"> </v>
      </c>
    </row>
    <row r="45" spans="1:8" ht="15.75">
      <c r="A45" s="37" t="str">
        <f t="shared" si="7"/>
        <v xml:space="preserve"> </v>
      </c>
      <c r="B45" s="92" t="str">
        <f t="shared" si="6"/>
        <v xml:space="preserve"> </v>
      </c>
      <c r="C45" s="92" t="str">
        <f>IF(A45=" "," ",IF(A45="totals",SUM($C$10:C44),($C$7*12)*(A45-A44)))</f>
        <v xml:space="preserve"> </v>
      </c>
      <c r="D45" s="92" t="str">
        <f>IF(A45=" "," ",IF(A45="totals",SUM($D$10:D44),$E$7*12))</f>
        <v xml:space="preserve"> </v>
      </c>
      <c r="E45" s="92" t="str">
        <f>IF($A45=" "," ",IF($A45="Totals",SUM($E$9:$E44),$C45+$D45))</f>
        <v xml:space="preserve"> </v>
      </c>
      <c r="F45" s="98" t="str">
        <f>IF($A45=" "," ",IF($A45="totals",SUM($F$9:$F44),$B45-$B46))</f>
        <v xml:space="preserve"> </v>
      </c>
      <c r="G45" s="92" t="str">
        <f t="shared" si="8"/>
        <v xml:space="preserve"> </v>
      </c>
      <c r="H45" s="27" t="str">
        <f>IF(A45=" "," ",IF(A45="totals",SUM($H$9:$H44),+G45*($G$7/100)))</f>
        <v xml:space="preserve"> </v>
      </c>
    </row>
    <row r="46" spans="1:8" ht="15.75">
      <c r="A46" s="37" t="str">
        <f t="shared" si="7"/>
        <v xml:space="preserve"> </v>
      </c>
      <c r="B46" s="92" t="str">
        <f t="shared" si="6"/>
        <v xml:space="preserve"> </v>
      </c>
      <c r="C46" s="92" t="str">
        <f>IF(A46=" "," ",IF(A46="totals",SUM($C$10:C45),($C$7*12)*(A46-A45)))</f>
        <v xml:space="preserve"> </v>
      </c>
      <c r="D46" s="92" t="str">
        <f>IF(A46=" "," ",IF(A46="totals",SUM($D$10:D45),$E$7*12))</f>
        <v xml:space="preserve"> </v>
      </c>
      <c r="E46" s="92" t="str">
        <f>IF($A46=" "," ",IF($A46="Totals",SUM($E$9:$E45),$C46+$D46))</f>
        <v xml:space="preserve"> </v>
      </c>
      <c r="F46" s="98" t="str">
        <f>IF($A46=" "," ",IF($A46="totals",SUM($F$9:$F45),$B46-$B47))</f>
        <v xml:space="preserve"> </v>
      </c>
      <c r="G46" s="92" t="str">
        <f t="shared" si="8"/>
        <v xml:space="preserve"> </v>
      </c>
      <c r="H46" s="27" t="str">
        <f>IF(A46=" "," ",IF(A46="totals",SUM($H$9:$H45),+G46*($G$7/100)))</f>
        <v xml:space="preserve"> </v>
      </c>
    </row>
    <row r="47" spans="1:8" ht="15.75">
      <c r="A47" s="37" t="str">
        <f t="shared" si="7"/>
        <v xml:space="preserve"> </v>
      </c>
      <c r="B47" s="92" t="str">
        <f t="shared" si="6"/>
        <v xml:space="preserve"> </v>
      </c>
      <c r="C47" s="92" t="str">
        <f>IF(A47=" "," ",IF(A47="totals",SUM($C$10:C46),($C$7*12)*(A47-A46)))</f>
        <v xml:space="preserve"> </v>
      </c>
      <c r="D47" s="92" t="str">
        <f>IF(A47=" "," ",IF(A47="totals",SUM($D$10:D46),$E$7*12))</f>
        <v xml:space="preserve"> </v>
      </c>
      <c r="E47" s="92" t="str">
        <f>IF($A47=" "," ",IF($A47="Totals",SUM($E$9:$E46),$C47+$D47))</f>
        <v xml:space="preserve"> </v>
      </c>
      <c r="F47" s="98" t="str">
        <f>IF($A47=" "," ",IF($A47="totals",SUM($F$9:$F46),$B47-$B48))</f>
        <v xml:space="preserve"> </v>
      </c>
      <c r="G47" s="92" t="str">
        <f t="shared" si="8"/>
        <v xml:space="preserve"> </v>
      </c>
      <c r="H47" s="27" t="str">
        <f>IF(A47=" "," ",IF(A47="totals",SUM($H$9:$H46),+G47*($G$7/100)))</f>
        <v xml:space="preserve"> </v>
      </c>
    </row>
    <row r="48" spans="1:8" ht="15.75">
      <c r="A48" s="37" t="str">
        <f t="shared" si="7"/>
        <v xml:space="preserve"> </v>
      </c>
      <c r="B48" s="92" t="str">
        <f t="shared" si="6"/>
        <v xml:space="preserve"> </v>
      </c>
      <c r="C48" s="92" t="str">
        <f>IF(A48=" "," ",IF(A48="totals",SUM($C$10:C47),($C$7*12)*(A48-A47)))</f>
        <v xml:space="preserve"> </v>
      </c>
      <c r="D48" s="92" t="str">
        <f>IF(A48=" "," ",IF(A48="totals",SUM($D$10:D47),$E$7*12))</f>
        <v xml:space="preserve"> </v>
      </c>
      <c r="E48" s="92" t="str">
        <f>IF($A48=" "," ",IF($A48="Totals",SUM($E$9:$E47),$C48+$D48))</f>
        <v xml:space="preserve"> </v>
      </c>
      <c r="F48" s="98" t="str">
        <f>IF($A48=" "," ",IF($A48="totals",SUM($F$9:$F47),$B48-$B49))</f>
        <v xml:space="preserve"> </v>
      </c>
      <c r="G48" s="92" t="str">
        <f t="shared" si="8"/>
        <v xml:space="preserve"> </v>
      </c>
      <c r="H48" s="27" t="str">
        <f>IF(A48=" "," ",IF(A48="totals",SUM($H$9:$H47),+G48*($G$7/100)))</f>
        <v xml:space="preserve"> </v>
      </c>
    </row>
    <row r="49" spans="1:8" ht="15.75">
      <c r="A49" s="37" t="str">
        <f t="shared" si="7"/>
        <v xml:space="preserve"> </v>
      </c>
      <c r="B49" s="92" t="str">
        <f t="shared" si="6"/>
        <v xml:space="preserve"> </v>
      </c>
      <c r="C49" s="92" t="str">
        <f>IF(A49=" "," ",IF(A49="totals",SUM($C$10:C48),($C$7*12)*(A49-A48)))</f>
        <v xml:space="preserve"> </v>
      </c>
      <c r="D49" s="92" t="str">
        <f>IF(A49=" "," ",IF(A49="totals",SUM($D$10:D48),$E$7*12))</f>
        <v xml:space="preserve"> </v>
      </c>
      <c r="E49" s="92" t="str">
        <f>IF($A49=" "," ",IF($A49="Totals",SUM($E$9:$E48),$C49+$D49))</f>
        <v xml:space="preserve"> </v>
      </c>
      <c r="F49" s="98" t="str">
        <f>IF($A49=" "," ",IF($A49="totals",SUM($F$9:$F48),$B49-$B50))</f>
        <v xml:space="preserve"> </v>
      </c>
      <c r="G49" s="92" t="str">
        <f t="shared" si="8"/>
        <v xml:space="preserve"> </v>
      </c>
      <c r="H49" s="27" t="str">
        <f>IF(A49=" "," ",IF(A49="totals",SUM($H$9:$H48),+G49*($G$7/100)))</f>
        <v xml:space="preserve"> </v>
      </c>
    </row>
    <row r="50" spans="1:8" ht="15.75">
      <c r="A50" s="37" t="str">
        <f t="shared" si="7"/>
        <v xml:space="preserve"> </v>
      </c>
      <c r="B50" s="92" t="str">
        <f t="shared" si="6"/>
        <v xml:space="preserve"> </v>
      </c>
      <c r="C50" s="92" t="str">
        <f>IF(A50=" "," ",IF(A50="totals",SUM($C$10:C49),($C$7*12)*(A50-A49)))</f>
        <v xml:space="preserve"> </v>
      </c>
      <c r="D50" s="92" t="str">
        <f>IF(A50=" "," ",IF(A50="totals",SUM($D$10:D49),$E$7*12))</f>
        <v xml:space="preserve"> </v>
      </c>
      <c r="E50" s="92" t="str">
        <f>IF($A50=" "," ",IF($A50="Totals",SUM($E$9:$E49),$C50+$D50))</f>
        <v xml:space="preserve"> </v>
      </c>
      <c r="F50" s="98" t="str">
        <f>IF($A50=" "," ",IF($A50="totals",SUM($F$9:$F49),$B50-$B51))</f>
        <v xml:space="preserve"> </v>
      </c>
      <c r="G50" s="92" t="str">
        <f t="shared" si="8"/>
        <v xml:space="preserve"> </v>
      </c>
      <c r="H50" s="27" t="str">
        <f>IF(A50=" "," ",IF(A50="totals",SUM($H$9:$H49),+G50*($G$7/100)))</f>
        <v xml:space="preserve"> </v>
      </c>
    </row>
    <row r="51" spans="1:8" ht="15.75">
      <c r="A51" s="37" t="str">
        <f t="shared" si="7"/>
        <v xml:space="preserve"> </v>
      </c>
      <c r="B51" s="92" t="str">
        <f t="shared" si="6"/>
        <v xml:space="preserve"> </v>
      </c>
      <c r="C51" s="92" t="str">
        <f>IF(A51=" "," ",IF(A51="totals",SUM($C$10:C50),($C$7*12)*(A51-A50)))</f>
        <v xml:space="preserve"> </v>
      </c>
      <c r="D51" s="92" t="str">
        <f>IF(A51=" "," ",IF(A51="totals",SUM($D$10:D50),$E$7*12))</f>
        <v xml:space="preserve"> </v>
      </c>
      <c r="E51" s="92" t="str">
        <f>IF($A51=" "," ",IF($A51="Totals",SUM($E$9:$E50),$C51+$D51))</f>
        <v xml:space="preserve"> </v>
      </c>
      <c r="F51" s="98" t="str">
        <f>IF($A51=" "," ",IF($A51="totals",SUM($F$9:$F50),$B51-$B52))</f>
        <v xml:space="preserve"> </v>
      </c>
      <c r="G51" s="92" t="str">
        <f t="shared" si="8"/>
        <v xml:space="preserve"> </v>
      </c>
      <c r="H51" s="27" t="str">
        <f>IF(A51=" "," ",IF(A51="totals",SUM($H$9:$H50),+G51*($G$7/100)))</f>
        <v xml:space="preserve"> </v>
      </c>
    </row>
    <row r="52" spans="1:8" ht="15.75">
      <c r="A52" s="37" t="str">
        <f t="shared" si="7"/>
        <v xml:space="preserve"> </v>
      </c>
      <c r="B52" s="92" t="str">
        <f t="shared" si="6"/>
        <v xml:space="preserve"> </v>
      </c>
      <c r="C52" s="92" t="str">
        <f>IF(A52=" "," ",IF(A52="totals",SUM($C$10:C51),($C$7*12)*(A52-A51)))</f>
        <v xml:space="preserve"> </v>
      </c>
      <c r="D52" s="92" t="str">
        <f>IF(A52=" "," ",IF(A52="totals",SUM($D$10:D51),$E$7*12))</f>
        <v xml:space="preserve"> </v>
      </c>
      <c r="E52" s="92" t="str">
        <f>IF($A52=" "," ",IF($A52="Totals",SUM($E$9:$E51),$C52+$D52))</f>
        <v xml:space="preserve"> </v>
      </c>
      <c r="F52" s="98" t="str">
        <f>IF($A52=" "," ",IF($A52="totals",SUM($F$9:$F51),$B52-$B53))</f>
        <v xml:space="preserve"> </v>
      </c>
      <c r="G52" s="92" t="str">
        <f t="shared" si="8"/>
        <v xml:space="preserve"> </v>
      </c>
      <c r="H52" s="27" t="str">
        <f>IF(A52=" "," ",IF(A52="totals",SUM($H$9:$H51),+G52*($G$7/100)))</f>
        <v xml:space="preserve"> </v>
      </c>
    </row>
    <row r="53" spans="1:8" ht="15.75">
      <c r="A53" s="37" t="str">
        <f t="shared" si="7"/>
        <v xml:space="preserve"> </v>
      </c>
      <c r="B53" s="92" t="str">
        <f t="shared" si="6"/>
        <v xml:space="preserve"> </v>
      </c>
      <c r="C53" s="92" t="str">
        <f>IF(A53=" "," ",IF(A53="totals",SUM($C$10:C52),($C$7*12)*(A53-A52)))</f>
        <v xml:space="preserve"> </v>
      </c>
      <c r="D53" s="92" t="str">
        <f>IF(A53=" "," ",IF(A53="totals",SUM($D$10:D52),$E$7*12))</f>
        <v xml:space="preserve"> </v>
      </c>
      <c r="E53" s="92" t="str">
        <f>IF($A53=" "," ",IF($A53="Totals",SUM($E$9:$E52),$C53+$D53))</f>
        <v xml:space="preserve"> </v>
      </c>
      <c r="F53" s="98" t="str">
        <f>IF($A53=" "," ",IF($A53="totals",SUM($F$9:$F52),$B53-$B54))</f>
        <v xml:space="preserve"> </v>
      </c>
      <c r="G53" s="92" t="str">
        <f t="shared" si="8"/>
        <v xml:space="preserve"> </v>
      </c>
      <c r="H53" s="27" t="str">
        <f>IF(A53=" "," ",IF(A53="totals",SUM($H$9:$H52),+G53*($G$7/100)))</f>
        <v xml:space="preserve"> </v>
      </c>
    </row>
    <row r="54" spans="1:8" ht="15.75">
      <c r="A54" s="37" t="str">
        <f t="shared" si="7"/>
        <v xml:space="preserve"> </v>
      </c>
      <c r="B54" s="92" t="str">
        <f t="shared" si="6"/>
        <v xml:space="preserve"> </v>
      </c>
      <c r="C54" s="92" t="str">
        <f>IF(A54=" "," ",IF(A54="totals",SUM($C$10:C53),($C$7*12)*(A54-A53)))</f>
        <v xml:space="preserve"> </v>
      </c>
      <c r="D54" s="92" t="str">
        <f>IF(A54=" "," ",IF(A54="totals",SUM($D$10:D53),$E$7*12))</f>
        <v xml:space="preserve"> </v>
      </c>
      <c r="E54" s="92" t="str">
        <f>IF($A54=" "," ",IF($A54="Totals",SUM($E$9:$E53),$C54+$D54))</f>
        <v xml:space="preserve"> </v>
      </c>
      <c r="F54" s="98" t="str">
        <f>IF($A54=" "," ",IF($A54="totals",SUM($F$9:$F53),$B54-$B55))</f>
        <v xml:space="preserve"> </v>
      </c>
      <c r="G54" s="92" t="str">
        <f t="shared" si="8"/>
        <v xml:space="preserve"> </v>
      </c>
      <c r="H54" s="27" t="str">
        <f>IF(A54=" "," ",IF(A54="totals",SUM($H$9:$H53),+G54*($G$7/100)))</f>
        <v xml:space="preserve"> </v>
      </c>
    </row>
    <row r="55" spans="1:8" ht="15.75">
      <c r="A55" s="37" t="str">
        <f t="shared" si="7"/>
        <v xml:space="preserve"> </v>
      </c>
      <c r="B55" s="92" t="str">
        <f t="shared" si="6"/>
        <v xml:space="preserve"> </v>
      </c>
      <c r="C55" s="92" t="str">
        <f>IF(A55=" "," ",IF(A55="totals",SUM($C$10:C54),($C$7*12)*(A55-A54)))</f>
        <v xml:space="preserve"> </v>
      </c>
      <c r="D55" s="92" t="str">
        <f>IF(A55=" "," ",IF(A55="totals",SUM($D$10:D54),$E$7*12))</f>
        <v xml:space="preserve"> </v>
      </c>
      <c r="E55" s="92" t="str">
        <f>IF($A55=" "," ",IF($A55="Totals",SUM($E$9:$E54),$C55+$D55))</f>
        <v xml:space="preserve"> </v>
      </c>
      <c r="F55" s="98" t="str">
        <f>IF($A55=" "," ",IF($A55="totals",SUM($F$9:$F54),$B55-$B56))</f>
        <v xml:space="preserve"> </v>
      </c>
      <c r="G55" s="92" t="str">
        <f t="shared" si="8"/>
        <v xml:space="preserve"> </v>
      </c>
      <c r="H55" s="27" t="str">
        <f>IF(A55=" "," ",IF(A55="totals",SUM($H$9:$H54),+G55*($G$7/100)))</f>
        <v xml:space="preserve"> </v>
      </c>
    </row>
    <row r="56" spans="1:8" ht="15.75">
      <c r="A56" s="37" t="str">
        <f t="shared" si="7"/>
        <v xml:space="preserve"> </v>
      </c>
      <c r="B56" s="92" t="str">
        <f t="shared" si="6"/>
        <v xml:space="preserve"> </v>
      </c>
      <c r="C56" s="92" t="str">
        <f>IF(A56=" "," ",IF(A56="totals",SUM($C$10:C55),($C$7*12)*(A56-A55)))</f>
        <v xml:space="preserve"> </v>
      </c>
      <c r="D56" s="92" t="str">
        <f>IF(A56=" "," ",IF(A56="totals",SUM($D$10:D55),$E$7*12))</f>
        <v xml:space="preserve"> </v>
      </c>
      <c r="E56" s="92" t="str">
        <f>IF($A56=" "," ",IF($A56="Totals",SUM($E$9:$E55),$C56+$D56))</f>
        <v xml:space="preserve"> </v>
      </c>
      <c r="F56" s="98" t="str">
        <f>IF($A56=" "," ",IF($A56="totals",SUM($F$9:$F55),$B56-$B57))</f>
        <v xml:space="preserve"> </v>
      </c>
      <c r="G56" s="92" t="str">
        <f t="shared" si="8"/>
        <v xml:space="preserve"> </v>
      </c>
      <c r="H56" s="27" t="str">
        <f>IF(A56=" "," ",IF(A56="totals",SUM($H$9:$H55),+G56*($G$7/100)))</f>
        <v xml:space="preserve"> </v>
      </c>
    </row>
    <row r="57" spans="1:8" ht="15.75">
      <c r="A57" s="37" t="str">
        <f t="shared" si="7"/>
        <v xml:space="preserve"> </v>
      </c>
      <c r="B57" s="92" t="str">
        <f t="shared" si="6"/>
        <v xml:space="preserve"> </v>
      </c>
      <c r="C57" s="92" t="str">
        <f>IF(A57=" "," ",IF(A57="totals",SUM($C$10:C56),($C$7*12)*(A57-A56)))</f>
        <v xml:space="preserve"> </v>
      </c>
      <c r="D57" s="92" t="str">
        <f>IF(A57=" "," ",IF(A57="totals",SUM($D$10:D56),$E$7*12))</f>
        <v xml:space="preserve"> </v>
      </c>
      <c r="E57" s="92" t="str">
        <f>IF($A57=" "," ",IF($A57="Totals",SUM($E$9:$E56),$C57+$D57))</f>
        <v xml:space="preserve"> </v>
      </c>
      <c r="F57" s="98" t="str">
        <f>IF($A57=" "," ",IF($A57="totals",SUM($F$9:$F56),$B57-$B58))</f>
        <v xml:space="preserve"> </v>
      </c>
      <c r="G57" s="92" t="str">
        <f t="shared" si="8"/>
        <v xml:space="preserve"> </v>
      </c>
      <c r="H57" s="27" t="str">
        <f>IF(A57=" "," ",IF(A57="totals",SUM($H$9:$H56),+G57*($G$7/100)))</f>
        <v xml:space="preserve"> </v>
      </c>
    </row>
    <row r="58" spans="1:8" ht="15.75">
      <c r="A58" s="37" t="str">
        <f t="shared" si="7"/>
        <v xml:space="preserve"> </v>
      </c>
      <c r="B58" s="92" t="str">
        <f t="shared" si="6"/>
        <v xml:space="preserve"> </v>
      </c>
      <c r="C58" s="92" t="str">
        <f>IF(A58=" "," ",IF(A58="totals",SUM($C$10:C57),($C$7*12)*(A58-A57)))</f>
        <v xml:space="preserve"> </v>
      </c>
      <c r="D58" s="92" t="str">
        <f>IF(A58=" "," ",IF(A58="totals",SUM($D$10:D57),$E$7*12))</f>
        <v xml:space="preserve"> </v>
      </c>
      <c r="E58" s="92" t="str">
        <f>IF($A58=" "," ",IF($A58="Totals",SUM($E$9:$E57),$C58+$D58))</f>
        <v xml:space="preserve"> </v>
      </c>
      <c r="F58" s="98" t="str">
        <f>IF($A58=" "," ",IF($A58="totals",SUM($F$9:$F57),$B58-$B59))</f>
        <v xml:space="preserve"> </v>
      </c>
      <c r="G58" s="92" t="str">
        <f t="shared" si="8"/>
        <v xml:space="preserve"> </v>
      </c>
      <c r="H58" s="27" t="str">
        <f>IF(A58=" "," ",IF(A58="totals",SUM($H$9:$H57),+G58*($G$7/100)))</f>
        <v xml:space="preserve"> </v>
      </c>
    </row>
    <row r="59" spans="1:8" ht="15.75">
      <c r="A59" s="37" t="str">
        <f t="shared" si="7"/>
        <v xml:space="preserve"> </v>
      </c>
      <c r="B59" s="92" t="str">
        <f>IF(A59=" "," ",FV($E$4/100/12,(A58-A57)*12,$E$10/12,-B58))</f>
        <v xml:space="preserve"> </v>
      </c>
      <c r="C59" s="92" t="str">
        <f>IF(A59=" "," ",IF(A59="totals",SUM($C$10:C58),($C$7*12)*(A59-A58)))</f>
        <v xml:space="preserve"> </v>
      </c>
      <c r="D59" s="92" t="str">
        <f>IF(A59=" "," ",IF(A59="totals",SUM($D$10:D58),$E$7*12))</f>
        <v xml:space="preserve"> </v>
      </c>
      <c r="E59" s="92" t="str">
        <f>IF($A59=" "," ",IF($A59="Totals",SUM($E$9:$E58),$C59+$D59))</f>
        <v xml:space="preserve"> </v>
      </c>
      <c r="F59" s="98" t="str">
        <f>IF($A59=" "," ",IF($A59="totals",SUM($F$9:$F58),$B59-$B60))</f>
        <v xml:space="preserve"> </v>
      </c>
      <c r="G59" s="92" t="str">
        <f t="shared" si="8"/>
        <v xml:space="preserve"> </v>
      </c>
      <c r="H59" s="27" t="str">
        <f>IF(A59=" "," ",IF(A59="totals",SUM($H$9:$H58),+G59*($G$7/100)))</f>
        <v xml:space="preserve"> </v>
      </c>
    </row>
    <row r="60" spans="1:8" ht="15.75">
      <c r="A60" s="37" t="str">
        <f>IF(A59=" "," ",IF(A59="Totals"," ",IF(A59=$G$4,"Totals",IF(A59&gt;$G$4-1,$G$4,"Totals"))))</f>
        <v xml:space="preserve"> </v>
      </c>
      <c r="B60" s="92" t="str">
        <f>IF(A60=" "," ",FV($E$4/100/12,(A59-A58)*12,$E$10/12,-B59))</f>
        <v xml:space="preserve"> </v>
      </c>
      <c r="C60" s="92" t="str">
        <f>IF(A60=" "," ",IF(A60="totals",SUM($C$10:C59),($C$7*12)*(A60-A59)))</f>
        <v xml:space="preserve"> </v>
      </c>
      <c r="D60" s="92" t="str">
        <f>IF(A60=" "," ",IF(A60="totals",SUM($D$10:D59),$E$7*12))</f>
        <v xml:space="preserve"> </v>
      </c>
      <c r="E60" s="92" t="str">
        <f>IF($A60=" "," ",IF($A60="Totals",SUM($E$9:$E59),$C60+$D60))</f>
        <v xml:space="preserve"> </v>
      </c>
      <c r="F60" s="98" t="str">
        <f>IF($A60=" "," ",IF($A60="totals",SUM($F$9:$F59),$B60-$B61))</f>
        <v xml:space="preserve"> </v>
      </c>
      <c r="G60" s="92" t="str">
        <f>IF($A60=" "," ",IF($A60="totals",SUM($G$10),IF($A59="Totals"," ",$E60-$F60)))</f>
        <v xml:space="preserve"> </v>
      </c>
      <c r="H60" s="27" t="str">
        <f>IF(A60=" "," ",IF(A60="totals",SUM($H$9:$H59),+G60*($G$7/100)))</f>
        <v xml:space="preserve"> </v>
      </c>
    </row>
    <row r="61" spans="1:8" ht="15.75">
      <c r="A61" s="37"/>
      <c r="B61" s="28"/>
      <c r="C61" s="28"/>
      <c r="D61" s="28"/>
      <c r="E61" s="28"/>
      <c r="F61" s="28"/>
      <c r="G61" s="28"/>
      <c r="H61" s="27"/>
    </row>
    <row r="62" spans="1:8" ht="15.75">
      <c r="A62" s="37"/>
      <c r="B62" s="28"/>
      <c r="C62" s="28"/>
      <c r="D62" s="28"/>
      <c r="E62" s="28"/>
      <c r="F62" s="28"/>
      <c r="G62" s="28"/>
      <c r="H62" s="27"/>
    </row>
    <row r="63" spans="1:8" ht="15.75">
      <c r="A63" s="37"/>
      <c r="B63" s="28"/>
      <c r="C63" s="28"/>
      <c r="D63" s="28"/>
      <c r="E63" s="28"/>
      <c r="F63" s="28"/>
      <c r="G63" s="28"/>
      <c r="H63" s="27"/>
    </row>
    <row r="64" spans="1:8" ht="15.75">
      <c r="A64" s="37"/>
      <c r="B64" s="28"/>
      <c r="C64" s="28"/>
      <c r="D64" s="28"/>
      <c r="E64" s="28"/>
      <c r="F64" s="28"/>
      <c r="G64" s="28"/>
      <c r="H64" s="27"/>
    </row>
    <row r="65" spans="1:8" ht="15.75">
      <c r="A65" s="37"/>
      <c r="B65" s="28"/>
      <c r="C65" s="28"/>
      <c r="D65" s="28"/>
      <c r="E65" s="28"/>
      <c r="F65" s="28"/>
      <c r="G65" s="28"/>
      <c r="H65" s="27"/>
    </row>
    <row r="66" spans="1:8" ht="15.75">
      <c r="A66" s="37"/>
      <c r="B66" s="28"/>
      <c r="C66" s="28"/>
      <c r="D66" s="28"/>
      <c r="E66" s="28"/>
      <c r="F66" s="28"/>
      <c r="G66" s="28"/>
      <c r="H66" s="27"/>
    </row>
    <row r="67" spans="1:8" ht="15.75">
      <c r="A67" s="37"/>
      <c r="B67" s="28"/>
      <c r="C67" s="28"/>
      <c r="D67" s="28"/>
      <c r="E67" s="28"/>
      <c r="F67" s="28"/>
      <c r="G67" s="28"/>
      <c r="H67" s="27"/>
    </row>
    <row r="68" spans="1:8" ht="15.75">
      <c r="A68" s="37"/>
      <c r="B68" s="28"/>
      <c r="C68" s="28"/>
      <c r="D68" s="28"/>
      <c r="E68" s="28"/>
      <c r="F68" s="28"/>
      <c r="G68" s="28"/>
      <c r="H68" s="27"/>
    </row>
    <row r="69" spans="1:8" ht="15.75">
      <c r="A69" s="37"/>
      <c r="B69" s="28"/>
      <c r="C69" s="28"/>
      <c r="D69" s="28"/>
      <c r="E69" s="28"/>
      <c r="F69" s="28"/>
      <c r="G69" s="28"/>
      <c r="H69" s="27"/>
    </row>
    <row r="70" spans="1:8" ht="15.75">
      <c r="A70" s="37"/>
      <c r="B70" s="28"/>
      <c r="C70" s="28"/>
      <c r="D70" s="28"/>
      <c r="E70" s="28"/>
      <c r="F70" s="28"/>
      <c r="G70" s="28"/>
      <c r="H70" s="27"/>
    </row>
    <row r="71" spans="1:8" ht="15.75">
      <c r="A71" s="37"/>
      <c r="B71" s="28"/>
      <c r="C71" s="28"/>
      <c r="D71" s="28"/>
      <c r="E71" s="28"/>
      <c r="F71" s="28"/>
      <c r="G71" s="28"/>
      <c r="H71" s="27"/>
    </row>
    <row r="72" spans="1:8" ht="15.75">
      <c r="A72" s="37"/>
      <c r="B72" s="28"/>
      <c r="C72" s="28"/>
      <c r="D72" s="28"/>
      <c r="E72" s="28"/>
      <c r="F72" s="28"/>
      <c r="G72" s="28"/>
      <c r="H72" s="27"/>
    </row>
    <row r="73" spans="1:8" ht="15.75">
      <c r="A73" s="37"/>
      <c r="B73" s="28"/>
      <c r="C73" s="28"/>
      <c r="D73" s="28"/>
      <c r="E73" s="28"/>
      <c r="F73" s="28"/>
      <c r="G73" s="28"/>
      <c r="H73" s="27"/>
    </row>
    <row r="74" spans="1:8" ht="15.75">
      <c r="A74" s="37"/>
      <c r="B74" s="28"/>
      <c r="C74" s="28"/>
      <c r="D74" s="28"/>
      <c r="E74" s="28"/>
      <c r="F74" s="28"/>
      <c r="G74" s="28"/>
      <c r="H74" s="27"/>
    </row>
    <row r="75" spans="1:8" ht="15.75">
      <c r="A75" s="37"/>
      <c r="B75" s="28"/>
      <c r="C75" s="28"/>
      <c r="D75" s="28"/>
      <c r="E75" s="28"/>
      <c r="F75" s="28"/>
      <c r="G75" s="28"/>
      <c r="H75" s="27"/>
    </row>
    <row r="76" spans="1:8" ht="15.75">
      <c r="A76" s="37"/>
      <c r="B76" s="28"/>
      <c r="C76" s="28"/>
      <c r="D76" s="28"/>
      <c r="E76" s="28"/>
      <c r="F76" s="28"/>
      <c r="G76" s="28"/>
      <c r="H76" s="27"/>
    </row>
  </sheetData>
  <phoneticPr fontId="0" type="noConversion"/>
  <printOptions horizontalCentered="1"/>
  <pageMargins left="0.5" right="0.5" top="0.5" bottom="0.5" header="0.5" footer="0.5"/>
  <pageSetup scale="88" orientation="portrait" r:id="rId1"/>
  <headerFooter alignWithMargins="0">
    <oddFooter>&amp;L&amp;8&amp;D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zoomScale="75" workbookViewId="0">
      <selection activeCell="J2" sqref="J2"/>
    </sheetView>
  </sheetViews>
  <sheetFormatPr defaultRowHeight="15"/>
  <cols>
    <col min="1" max="1" width="8.88671875" style="145" customWidth="1"/>
    <col min="2" max="2" width="10.109375" customWidth="1"/>
    <col min="4" max="4" width="10.88671875" customWidth="1"/>
    <col min="5" max="5" width="10.77734375" customWidth="1"/>
    <col min="7" max="7" width="11.21875" customWidth="1"/>
  </cols>
  <sheetData>
    <row r="1" spans="1:8" ht="40.5">
      <c r="A1" s="153" t="s">
        <v>53</v>
      </c>
      <c r="B1" s="154"/>
      <c r="C1" s="154"/>
      <c r="D1" s="147"/>
      <c r="E1" s="154"/>
      <c r="F1" s="154"/>
      <c r="G1" s="154"/>
      <c r="H1" s="102"/>
    </row>
    <row r="2" spans="1:8">
      <c r="A2" s="103"/>
      <c r="B2" s="102"/>
      <c r="C2" s="102"/>
      <c r="D2" s="102"/>
      <c r="E2" s="102"/>
      <c r="F2" s="102"/>
      <c r="G2" s="102"/>
      <c r="H2" s="102"/>
    </row>
    <row r="4" spans="1:8">
      <c r="A4" s="140"/>
      <c r="B4" s="53"/>
      <c r="C4" s="53" t="s">
        <v>23</v>
      </c>
      <c r="D4" s="53"/>
      <c r="E4" s="53" t="s">
        <v>3</v>
      </c>
      <c r="F4" s="53"/>
      <c r="G4" s="53"/>
      <c r="H4" s="53"/>
    </row>
    <row r="5" spans="1:8">
      <c r="A5" s="146"/>
      <c r="B5" s="54"/>
      <c r="C5" s="144">
        <v>30</v>
      </c>
      <c r="D5" s="54"/>
      <c r="E5" s="126">
        <v>7</v>
      </c>
      <c r="F5" s="54"/>
      <c r="G5" s="54"/>
      <c r="H5" s="54"/>
    </row>
    <row r="6" spans="1:8">
      <c r="E6" s="124"/>
    </row>
    <row r="7" spans="1:8" ht="18.75">
      <c r="D7" s="55"/>
      <c r="E7" s="55"/>
    </row>
    <row r="8" spans="1:8" ht="18.75">
      <c r="A8" s="55"/>
      <c r="B8" s="55" t="s">
        <v>54</v>
      </c>
      <c r="C8" s="55" t="s">
        <v>55</v>
      </c>
      <c r="D8" s="55" t="s">
        <v>54</v>
      </c>
      <c r="E8" s="55" t="s">
        <v>55</v>
      </c>
      <c r="F8" s="55" t="s">
        <v>19</v>
      </c>
      <c r="G8" s="55" t="s">
        <v>56</v>
      </c>
      <c r="H8" s="55"/>
    </row>
    <row r="9" spans="1:8" ht="18.75">
      <c r="A9" s="36" t="s">
        <v>20</v>
      </c>
      <c r="B9" s="46" t="s">
        <v>36</v>
      </c>
      <c r="C9" s="47" t="s">
        <v>36</v>
      </c>
      <c r="D9" s="47" t="s">
        <v>57</v>
      </c>
      <c r="E9" s="47" t="s">
        <v>57</v>
      </c>
      <c r="F9" s="46" t="s">
        <v>21</v>
      </c>
      <c r="G9" s="46" t="s">
        <v>58</v>
      </c>
      <c r="H9" s="46"/>
    </row>
    <row r="10" spans="1:8" ht="15.75">
      <c r="A10" s="37">
        <f>IF('Amort. Table 2'!$G$4=0," ",IF('Amort. Table 2'!A10=" "," ",'Amort. Table 2'!A10))</f>
        <v>1</v>
      </c>
      <c r="B10" s="92">
        <f>'Amort. Table 1'!B10</f>
        <v>250000</v>
      </c>
      <c r="C10" s="92">
        <f>IF(A10=" "," ",+'Amort. Table 2'!B10)</f>
        <v>267000</v>
      </c>
      <c r="D10" s="98">
        <f>IF(A10="totals",SUM(D$9:D10),IF(A10=" "," ",+'Amort. Table 1'!H10))</f>
        <v>3174.3576898667234</v>
      </c>
      <c r="E10" s="98">
        <f>IF(A10="Totals",SUM(E9:E$10),IF(A10=" "," ",(+'Amort. Table 2'!H10)))</f>
        <v>4670.4738356424214</v>
      </c>
      <c r="F10" s="125">
        <f>IF(A10="Totals",SUM(F10:$F$10),IF(A10=" "," ",E10-D10))</f>
        <v>1496.116145775698</v>
      </c>
      <c r="G10" s="125">
        <f>IF($A10=" "," ",IF($A10="Totals",SUM($G$9:$G9),FV($E$5/100,$C$5-$A10,,-$F10)))</f>
        <v>10643.754836531905</v>
      </c>
      <c r="H10" s="56"/>
    </row>
    <row r="11" spans="1:8" ht="15.75">
      <c r="A11" s="37">
        <f>IF(A10=" "," ",IF(A10="Totals"," ",IF(A10=$C$5,"Totals",IF(A10&gt;$C$5-1,$C$5,A10+1))))</f>
        <v>2</v>
      </c>
      <c r="B11" s="92">
        <f>'Amort. Table 1'!B11</f>
        <v>245597.40891686972</v>
      </c>
      <c r="C11" s="92">
        <f>IF(A11=" "," ",+'Amort. Table 2'!B11)</f>
        <v>263403.2711332246</v>
      </c>
      <c r="D11" s="98">
        <f>IF(A11="totals",SUM(D$9:D10),IF(A11=" "," ",IF('Amort. Table 1'!H11=SUM('Amort. Table 1'!$H$10:H10),0,IF(D10=0,0,+'Amort. Table 1'!H11))))</f>
        <v>3116.9598167237937</v>
      </c>
      <c r="E11" s="98">
        <f>IF(A11="Totals",SUM(E$10:E10),IF(A11=" "," ",+'Amort. Table 2'!H11))</f>
        <v>4605.5510261186773</v>
      </c>
      <c r="F11" s="125">
        <f>IF(A11="Totals",SUM($F$10:F10),IF(A11=" "," ",E11-D11))</f>
        <v>1488.5912093948837</v>
      </c>
      <c r="G11" s="125">
        <f>IF($A11=" "," ",IF($A11="Totals",SUM($G$9:$G10),FV($E$5/100,$C$5-$A11,0,-$F11)))</f>
        <v>9897.4023409717647</v>
      </c>
      <c r="H11" s="56"/>
    </row>
    <row r="12" spans="1:8" ht="15.75">
      <c r="A12" s="37">
        <f t="shared" ref="A12:A27" si="0">IF(A11=" "," ",IF(A11="Totals"," ",IF(A11=$C$5,"Totals",IF(A11&gt;$C$5-1,$C$5,A11+1))))</f>
        <v>3</v>
      </c>
      <c r="B12" s="92">
        <f>'Amort. Table 1'!B12</f>
        <v>241015.44948016779</v>
      </c>
      <c r="C12" s="92">
        <f>IF(A12=" "," ",+'Amort. Table 2'!B12)</f>
        <v>259603.65848668749</v>
      </c>
      <c r="D12" s="98">
        <f>IF(A12="totals",SUM(D$9:D11),IF(A12=" "," ",IF('Amort. Table 1'!H12=SUM('Amort. Table 1'!$H$10:H11),0,IF(D11=0,0,+'Amort. Table 1'!H12))))</f>
        <v>3057.2234656687192</v>
      </c>
      <c r="E12" s="98">
        <f>IF(A12="Totals",SUM(E$10:E11),IF(A12=" "," ",+'Amort. Table 2'!H12))</f>
        <v>4536.9660598194878</v>
      </c>
      <c r="F12" s="125">
        <f>IF(A12="Totals",SUM($F$10:F11),IF(A12=" "," ",E12-D12))</f>
        <v>1479.7425941507686</v>
      </c>
      <c r="G12" s="125">
        <f>IF($A12=" "," ",IF($A12="Totals",SUM($G$9:$G11),FV($E$5/100,$C$5-$A12,0,-$F12)))</f>
        <v>9194.9246060472851</v>
      </c>
      <c r="H12" s="56"/>
    </row>
    <row r="13" spans="1:8" ht="15.75">
      <c r="A13" s="37">
        <f t="shared" si="0"/>
        <v>4</v>
      </c>
      <c r="B13" s="92">
        <f>'Amort. Table 1'!B13</f>
        <v>236246.81394641876</v>
      </c>
      <c r="C13" s="92">
        <f>IF(A13=" "," ",+'Amort. Table 2'!B13)</f>
        <v>255589.71782046542</v>
      </c>
      <c r="D13" s="98">
        <f>IF(A13="totals",SUM(D$9:D12),IF(A13=" "," ",IF('Amort. Table 1'!H13=SUM('Amort. Table 1'!$H$10:H12),0,IF(D12=0,0,+'Amort. Table 1'!H13))))</f>
        <v>2995.0533635032475</v>
      </c>
      <c r="E13" s="98">
        <f>IF(A13="Totals",SUM(E$10:E12),IF(A13=" "," ",+'Amort. Table 2'!H13))</f>
        <v>4464.5123623167447</v>
      </c>
      <c r="F13" s="125">
        <f>IF(A13="Totals",SUM($F$10:F12),IF(A13=" "," ",E13-D13))</f>
        <v>1469.4589988134971</v>
      </c>
      <c r="G13" s="125">
        <f>IF($A13=" "," ",IF($A13="Totals",SUM($G$9:$G12),FV($E$5/100,$C$5-$A13,0,-$F13)))</f>
        <v>8533.6670148264657</v>
      </c>
      <c r="H13" s="56"/>
    </row>
    <row r="14" spans="1:8" ht="15.75">
      <c r="A14" s="37">
        <f t="shared" si="0"/>
        <v>5</v>
      </c>
      <c r="B14" s="92">
        <f>'Amort. Table 1'!B14</f>
        <v>231283.89684340262</v>
      </c>
      <c r="C14" s="92">
        <f>IF(A14=" "," ",+'Amort. Table 2'!B14)</f>
        <v>251349.35934954727</v>
      </c>
      <c r="D14" s="98">
        <f>IF(A14="totals",SUM(D$9:D13),IF(A14=" "," ",IF('Amort. Table 1'!H14=SUM('Amort. Table 1'!$H$10:H13),0,IF(D13=0,0,+'Amort. Table 1'!H14))))</f>
        <v>2930.3503554520867</v>
      </c>
      <c r="E14" s="98">
        <f>IF(A14="Totals",SUM(E$10:E13),IF(A14=" "," ",+'Amort. Table 2'!H14))</f>
        <v>4387.9717067608517</v>
      </c>
      <c r="F14" s="125">
        <f>IF(A14="Totals",SUM($F$10:F13),IF(A14=" "," ",E14-D14))</f>
        <v>1457.621351308765</v>
      </c>
      <c r="G14" s="125">
        <f>IF($A14=" "," ",IF($A14="Totals",SUM($G$9:$G13),FV($E$5/100,$C$5-$A14,0,-$F14)))</f>
        <v>7911.1416990332273</v>
      </c>
      <c r="H14" s="56"/>
    </row>
    <row r="15" spans="1:8" ht="15.75">
      <c r="A15" s="37">
        <f t="shared" si="0"/>
        <v>6</v>
      </c>
      <c r="B15" s="92">
        <f>'Amort. Table 1'!B15</f>
        <v>226118.7828402266</v>
      </c>
      <c r="C15" s="92">
        <f>IF(A15=" "," ",+'Amort. Table 2'!B15)</f>
        <v>246869.81133001696</v>
      </c>
      <c r="D15" s="98">
        <f>IF(A15="totals",SUM(D$9:D14),IF(A15=" "," ",IF('Amort. Table 1'!H15=SUM('Amort. Table 1'!$H$10:H14),0,IF(D14=0,0,+'Amort. Table 1'!H15))))</f>
        <v>2863.0112470213621</v>
      </c>
      <c r="E15" s="98">
        <f>IF(A15="Totals",SUM(E$10:E14),IF(A15=" "," ",+'Amort. Table 2'!H15))</f>
        <v>4307.1135565925388</v>
      </c>
      <c r="F15" s="125">
        <f>IF(A15="Totals",SUM($F$10:F14),IF(A15=" "," ",E15-D15))</f>
        <v>1444.1023095711766</v>
      </c>
      <c r="G15" s="125">
        <f>IF($A15=" "," ",IF($A15="Totals",SUM($G$9:$G14),FV($E$5/100,$C$5-$A15,0,-$F15)))</f>
        <v>7325.0168323770613</v>
      </c>
      <c r="H15" s="56"/>
    </row>
    <row r="16" spans="1:8" ht="15.75">
      <c r="A16" s="37">
        <f t="shared" si="0"/>
        <v>7</v>
      </c>
      <c r="B16" s="92">
        <f>'Amort. Table 1'!B16</f>
        <v>220743.23412320457</v>
      </c>
      <c r="C16" s="92">
        <f>IF(A16=" "," ",+'Amort. Table 2'!B16)</f>
        <v>242137.58159121068</v>
      </c>
      <c r="D16" s="98">
        <f>IF(A16="totals",SUM(D$9:D15),IF(A16=" "," ",IF('Amort. Table 1'!H16=SUM('Amort. Table 1'!$H$10:H15),0,IF(D15=0,0,+'Amort. Table 1'!H16))))</f>
        <v>2792.928639414331</v>
      </c>
      <c r="E16" s="98">
        <f>IF(A16="Totals",SUM(E$10:E15),IF(A16=" "," ",+'Amort. Table 2'!H16))</f>
        <v>4221.6943711785043</v>
      </c>
      <c r="F16" s="125">
        <f>IF(A16="Totals",SUM($F$10:F15),IF(A16=" "," ",E16-D16))</f>
        <v>1428.7657317641733</v>
      </c>
      <c r="G16" s="125">
        <f>IF($A16=" "," ",IF($A16="Totals",SUM($G$9:$G15),FV($E$5/100,$C$5-$A16,0,-$F16)))</f>
        <v>6773.1066186269027</v>
      </c>
      <c r="H16" s="56"/>
    </row>
    <row r="17" spans="1:8" ht="15.75">
      <c r="A17" s="37">
        <f t="shared" si="0"/>
        <v>8</v>
      </c>
      <c r="B17" s="92">
        <f>'Amort. Table 1'!B17</f>
        <v>215148.67725741057</v>
      </c>
      <c r="C17" s="92">
        <f>IF(A17=" "," ",+'Amort. Table 2'!B17)</f>
        <v>237138.41689798553</v>
      </c>
      <c r="D17" s="98">
        <f>IF(A17="totals",SUM(D$9:D16),IF(A17=" "," ",IF('Amort. Table 1'!H17=SUM('Amort. Table 1'!$H$10:H16),0,IF(D16=0,0,+'Amort. Table 1'!H17))))</f>
        <v>2719.9907582415381</v>
      </c>
      <c r="E17" s="98">
        <f>IF(A17="Totals",SUM(E$10:E16),IF(A17=" "," ",+'Amort. Table 2'!H17))</f>
        <v>4131.4568722793829</v>
      </c>
      <c r="F17" s="125">
        <f>IF(A17="Totals",SUM($F$10:F16),IF(A17=" "," ",E17-D17))</f>
        <v>1411.4661140378448</v>
      </c>
      <c r="G17" s="125">
        <f>IF($A17=" "," ",IF($A17="Totals",SUM($G$9:$G16),FV($E$5/100,$C$5-$A17,0,-$F17)))</f>
        <v>6253.3619291375217</v>
      </c>
      <c r="H17" s="56"/>
    </row>
    <row r="18" spans="1:8" ht="15.75">
      <c r="A18" s="37">
        <f t="shared" si="0"/>
        <v>9</v>
      </c>
      <c r="B18" s="92">
        <f>'Amort. Table 1'!B18</f>
        <v>209326.18951295159</v>
      </c>
      <c r="C18" s="92">
        <f>IF(A18=" "," ",+'Amort. Table 2'!B18)</f>
        <v>231857.26002070063</v>
      </c>
      <c r="D18" s="98">
        <f>IF(A18="totals",SUM(D$9:D17),IF(A18=" "," ",IF('Amort. Table 1'!H18=SUM('Amort. Table 1'!$H$10:H17),0,IF(D17=0,0,+'Amort. Table 1'!H18))))</f>
        <v>2644.081275252478</v>
      </c>
      <c r="E18" s="98">
        <f>IF(A18="Totals",SUM(E$10:E17),IF(A18=" "," ",+'Amort. Table 2'!H18))</f>
        <v>4036.1292691408285</v>
      </c>
      <c r="F18" s="125">
        <f>IF(A18="Totals",SUM($F$10:F17),IF(A18=" "," ",E18-D18))</f>
        <v>1392.0479938883504</v>
      </c>
      <c r="G18" s="125">
        <f>IF($A18=" "," ",IF($A18="Totals",SUM($G$9:$G17),FV($E$5/100,$C$5-$A18,0,-$F18)))</f>
        <v>5763.8615474937424</v>
      </c>
      <c r="H18" s="56"/>
    </row>
    <row r="19" spans="1:8" ht="15.75">
      <c r="A19" s="37">
        <f t="shared" si="0"/>
        <v>10</v>
      </c>
      <c r="B19" s="92">
        <f>'Amort. Table 1'!B19</f>
        <v>203266.4846341518</v>
      </c>
      <c r="C19" s="92">
        <f>IF(A19=" "," ",+'Amort. Table 2'!B19)</f>
        <v>226278.20438360775</v>
      </c>
      <c r="D19" s="98">
        <f>IF(A19="totals",SUM(D$9:D18),IF(A19=" "," ",IF('Amort. Table 1'!H19=SUM('Amort. Table 1'!$H$10:H18),0,IF(D18=0,0,+'Amort. Table 1'!H19))))</f>
        <v>2565.0791228041908</v>
      </c>
      <c r="E19" s="98">
        <f>IF(A19="Totals",SUM(E$10:E18),IF(A19=" "," ",+'Amort. Table 2'!H19))</f>
        <v>3935.4244398735373</v>
      </c>
      <c r="F19" s="125">
        <f>IF(A19="Totals",SUM($F$10:F18),IF(A19=" "," ",E19-D19))</f>
        <v>1370.3453170693465</v>
      </c>
      <c r="G19" s="125">
        <f>IF($A19=" "," ",IF($A19="Totals",SUM($G$9:$G18),FV($E$5/100,$C$5-$A19,0,-$F19)))</f>
        <v>5302.8039817039471</v>
      </c>
      <c r="H19" s="56"/>
    </row>
    <row r="20" spans="1:8" ht="15.75">
      <c r="A20" s="37">
        <f t="shared" si="0"/>
        <v>11</v>
      </c>
      <c r="B20" s="92">
        <f>'Amort. Table 1'!B20</f>
        <v>196959.89802895111</v>
      </c>
      <c r="C20" s="92">
        <f>IF(A20=" "," ",+'Amort. Table 2'!B20)</f>
        <v>220384.44615505458</v>
      </c>
      <c r="D20" s="98">
        <f>IF(A20="totals",SUM(D$9:D19),IF(A20=" "," ",IF('Amort. Table 1'!H20=SUM('Amort. Table 1'!$H$10:H19),0,IF(D19=0,0,+'Amort. Table 1'!H20))))</f>
        <v>2482.858300771175</v>
      </c>
      <c r="E20" s="98">
        <f>IF(A20="Totals",SUM(E$10:E19),IF(A20=" "," ",+'Amort. Table 2'!H20))</f>
        <v>3829.039066656791</v>
      </c>
      <c r="F20" s="125">
        <f>IF(A20="Totals",SUM($F$10:F19),IF(A20=" "," ",E20-D20))</f>
        <v>1346.180765885616</v>
      </c>
      <c r="G20" s="125">
        <f>IF($A20=" "," ",IF($A20="Totals",SUM($G$9:$G19),FV($E$5/100,$C$5-$A20,0,-$F20)))</f>
        <v>4868.4998069582371</v>
      </c>
      <c r="H20" s="56"/>
    </row>
    <row r="21" spans="1:8" ht="15.75">
      <c r="A21" s="37">
        <f t="shared" si="0"/>
        <v>12</v>
      </c>
      <c r="B21" s="92">
        <f>'Amort. Table 1'!B21</f>
        <v>190396.37135489724</v>
      </c>
      <c r="C21" s="92">
        <f>IF(A21=" "," ",+'Amort. Table 2'!B21)</f>
        <v>214158.23363519908</v>
      </c>
      <c r="D21" s="98">
        <f>IF(A21="totals",SUM(D$9:D20),IF(A21=" "," ",IF('Amort. Table 1'!H21=SUM('Amort. Table 1'!$H$10:H20),0,IF(D20=0,0,+'Amort. Table 1'!H21))))</f>
        <v>2397.2876755884122</v>
      </c>
      <c r="E21" s="98">
        <f>IF(A21="Totals",SUM(E$10:E20),IF(A21=" "," ",+'Amort. Table 2'!H21))</f>
        <v>3716.6527221605743</v>
      </c>
      <c r="F21" s="125">
        <f>IF(A21="Totals",SUM($F$10:F20),IF(A21=" "," ",E21-D21))</f>
        <v>1319.3650465721621</v>
      </c>
      <c r="G21" s="125">
        <f>IF($A21=" "," ",IF($A21="Totals",SUM($G$9:$G20),FV($E$5/100,$C$5-$A21,0,-$F21)))</f>
        <v>4459.36450438261</v>
      </c>
      <c r="H21" s="56"/>
    </row>
    <row r="22" spans="1:8" ht="15.75">
      <c r="A22" s="37">
        <f t="shared" si="0"/>
        <v>13</v>
      </c>
      <c r="B22" s="92">
        <f>'Amort. Table 1'!B22</f>
        <v>183565.43647714725</v>
      </c>
      <c r="C22" s="92">
        <f>IF(A22=" "," ",+'Amort. Table 2'!B22)</f>
        <v>207580.8137887929</v>
      </c>
      <c r="D22" s="98">
        <f>IF(A22="totals",SUM(D$9:D21),IF(A22=" "," ",IF('Amort. Table 1'!H22=SUM('Amort. Table 1'!$H$10:H21),0,IF(D21=0,0,+'Amort. Table 1'!H22))))</f>
        <v>2308.2307711070794</v>
      </c>
      <c r="E22" s="98">
        <f>IF(A22="Totals",SUM(E$10:E21),IF(A22=" "," ",+'Amort. Table 2'!H22))</f>
        <v>3597.9269044347761</v>
      </c>
      <c r="F22" s="125">
        <f>IF(A22="Totals",SUM($F$10:F21),IF(A22=" "," ",E22-D22))</f>
        <v>1289.6961333276968</v>
      </c>
      <c r="G22" s="125">
        <f>IF($A22=" "," ",IF($A22="Totals",SUM($G$9:$G21),FV($E$5/100,$C$5-$A22,0,-$F22)))</f>
        <v>4073.9117634782551</v>
      </c>
      <c r="H22" s="56"/>
    </row>
    <row r="23" spans="1:8" ht="15.75">
      <c r="A23" s="37">
        <f t="shared" si="0"/>
        <v>14</v>
      </c>
      <c r="B23" s="92">
        <f>'Amort. Table 1'!B23</f>
        <v>176456.19877289308</v>
      </c>
      <c r="C23" s="92">
        <f>IF(A23=" "," ",+'Amort. Table 2'!B23)</f>
        <v>200632.37576199361</v>
      </c>
      <c r="D23" s="98">
        <f>IF(A23="totals",SUM(D$9:D22),IF(A23=" "," ",IF('Amort. Table 1'!H23=SUM('Amort. Table 1'!$H$10:H22),0,IF(D22=0,0,+'Amort. Table 1'!H23))))</f>
        <v>2215.5455509295239</v>
      </c>
      <c r="E23" s="98">
        <f>IF(A23="Totals",SUM(E$10:E22),IF(A23=" "," ",+'Amort. Table 2'!H23))</f>
        <v>3472.5040173585339</v>
      </c>
      <c r="F23" s="125">
        <f>IF(A23="Totals",SUM($F$10:F22),IF(A23=" "," ",E23-D23))</f>
        <v>1256.9584664290101</v>
      </c>
      <c r="G23" s="125">
        <f>IF($A23=" "," ",IF($A23="Totals",SUM($G$9:$G22),FV($E$5/100,$C$5-$A23,0,-$F23)))</f>
        <v>3710.7472180440923</v>
      </c>
      <c r="H23" s="56"/>
    </row>
    <row r="24" spans="1:8" ht="15.75">
      <c r="A24" s="37">
        <f t="shared" si="0"/>
        <v>15</v>
      </c>
      <c r="B24" s="92">
        <f>'Amort. Table 1'!B24</f>
        <v>169057.31975558406</v>
      </c>
      <c r="C24" s="92">
        <f>IF(A24=" "," ",+'Amort. Table 2'!B24)</f>
        <v>193291.99121308106</v>
      </c>
      <c r="D24" s="98">
        <f>IF(A24="totals",SUM(D$9:D23),IF(A24=" "," ",IF('Amort. Table 1'!H24=SUM('Amort. Table 1'!$H$10:H23),0,IF(D23=0,0,+'Amort. Table 1'!H24))))</f>
        <v>2119.0841918760743</v>
      </c>
      <c r="E24" s="98">
        <f>IF(A24="Totals",SUM(E$10:E23),IF(A24=" "," ",+'Amort. Table 2'!H24))</f>
        <v>3340.0062935789488</v>
      </c>
      <c r="F24" s="125">
        <f>IF(A24="Totals",SUM($F$10:F23),IF(A24=" "," ",E24-D24))</f>
        <v>1220.9221017028744</v>
      </c>
      <c r="G24" s="125">
        <f>IF($A24=" "," ",IF($A24="Totals",SUM($G$9:$G23),FV($E$5/100,$C$5-$A24,0,-$F24)))</f>
        <v>3368.562587354686</v>
      </c>
      <c r="H24" s="56"/>
    </row>
    <row r="25" spans="1:8" ht="15.75">
      <c r="A25" s="37">
        <f t="shared" si="0"/>
        <v>16</v>
      </c>
      <c r="B25" s="92">
        <f>'Amort. Table 1'!B25</f>
        <v>161356.99899123301</v>
      </c>
      <c r="C25" s="92">
        <f>IF(A25=" "," ",+'Amort. Table 2'!B25)</f>
        <v>185537.5512773573</v>
      </c>
      <c r="D25" s="98">
        <f>IF(A25="totals",SUM(D$9:D24),IF(A25=" "," ",IF('Amort. Table 1'!H25=SUM('Amort. Table 1'!$H$10:H24),0,IF(D24=0,0,+'Amort. Table 1'!H25))))</f>
        <v>2018.6928482226488</v>
      </c>
      <c r="E25" s="98">
        <f>IF(A25="Totals",SUM(E$10:E24),IF(A25=" "," ",+'Amort. Table 2'!H25))</f>
        <v>3200.0346566950066</v>
      </c>
      <c r="F25" s="125">
        <f>IF(A25="Totals",SUM($F$10:F24),IF(A25=" "," ",E25-D25))</f>
        <v>1181.3418084723578</v>
      </c>
      <c r="G25" s="125">
        <f>IF($A25=" "," ",IF($A25="Totals",SUM($G$9:$G24),FV($E$5/100,$C$5-$A25,0,-$F25)))</f>
        <v>3046.1301962064754</v>
      </c>
      <c r="H25" s="56"/>
    </row>
    <row r="26" spans="1:8" ht="15.75">
      <c r="A26" s="37">
        <f t="shared" si="0"/>
        <v>17</v>
      </c>
      <c r="B26" s="92">
        <f>'Amort. Table 1'!B26</f>
        <v>153342.955277965</v>
      </c>
      <c r="C26" s="92">
        <f>IF(A26=" "," ",+'Amort. Table 2'!B26)</f>
        <v>177345.69997637122</v>
      </c>
      <c r="D26" s="98">
        <f>IF(A26="totals",SUM(D$9:D25),IF(A26=" "," ",IF('Amort. Table 1'!H26=SUM('Amort. Table 1'!$H$10:H25),0,IF(D25=0,0,+'Amort. Table 1'!H26))))</f>
        <v>1914.2114063329827</v>
      </c>
      <c r="E26" s="98">
        <f>IF(A26="Totals",SUM(E$10:E25),IF(A26=" "," ",+'Amort. Table 2'!H26))</f>
        <v>3052.1675192597791</v>
      </c>
      <c r="F26" s="125">
        <f>IF(A26="Totals",SUM($F$10:F25),IF(A26=" "," ",E26-D26))</f>
        <v>1137.9561129267963</v>
      </c>
      <c r="G26" s="125">
        <f>IF($A26=" "," ",IF($A26="Totals",SUM($G$9:$G25),FV($E$5/100,$C$5-$A26,0,-$F26)))</f>
        <v>2742.2978491701037</v>
      </c>
      <c r="H26" s="56"/>
    </row>
    <row r="27" spans="1:8" ht="15.75">
      <c r="A27" s="37">
        <f t="shared" si="0"/>
        <v>18</v>
      </c>
      <c r="B27" s="92">
        <f>'Amort. Table 1'!B27</f>
        <v>145002.40705879178</v>
      </c>
      <c r="C27" s="92">
        <f>IF(A27=" "," ",+'Amort. Table 2'!B27)</f>
        <v>168691.76387090006</v>
      </c>
      <c r="D27" s="98">
        <f>IF(A27="totals",SUM(D$9:D26),IF(A27=" "," ",IF('Amort. Table 1'!H27=SUM('Amort. Table 1'!$H$10:H26),0,IF(D26=0,0,+'Amort. Table 1'!H27))))</f>
        <v>1805.4732292942535</v>
      </c>
      <c r="E27" s="98">
        <f>IF(A27="Totals",SUM(E$10:E26),IF(A27=" "," ",+'Amort. Table 2'!H27))</f>
        <v>2895.9595129804966</v>
      </c>
      <c r="F27" s="125">
        <f>IF(A27="Totals",SUM($F$10:F26),IF(A27=" "," ",E27-D27))</f>
        <v>1090.486283686243</v>
      </c>
      <c r="G27" s="125">
        <f>IF($A27=" "," ",IF($A27="Totals",SUM($G$9:$G26),FV($E$5/100,$C$5-$A27,0,-$F27)))</f>
        <v>2455.9840359953032</v>
      </c>
      <c r="H27" s="56"/>
    </row>
    <row r="28" spans="1:8" ht="15.75">
      <c r="A28" s="37">
        <f t="shared" ref="A28:A43" si="1">IF(A27=" "," ",IF(A27="Totals"," ",IF(A27=$C$5,"Totals",IF(A27&gt;$C$5-1,$C$5,A27+1))))</f>
        <v>19</v>
      </c>
      <c r="B28" s="92">
        <f>'Amort. Table 1'!B28</f>
        <v>136322.05203637254</v>
      </c>
      <c r="C28" s="92">
        <f>IF(A28=" "," ",+'Amort. Table 2'!B28)</f>
        <v>159549.67774580614</v>
      </c>
      <c r="D28" s="98">
        <f>IF(A28="totals",SUM(D$9:D27),IF(A28=" "," ",IF('Amort. Table 1'!H28=SUM('Amort. Table 1'!$H$10:H27),0,IF(D27=0,0,+'Amort. Table 1'!H28))))</f>
        <v>1692.304891148691</v>
      </c>
      <c r="E28" s="98">
        <f>IF(A28="Totals",SUM(E$10:E27),IF(A28=" "," ",+'Amort. Table 2'!H28))</f>
        <v>2730.9401472919062</v>
      </c>
      <c r="F28" s="125">
        <f>IF(A28="Totals",SUM($F$10:F27),IF(A28=" "," ",E28-D28))</f>
        <v>1038.6352561432152</v>
      </c>
      <c r="G28" s="125">
        <f>IF($A28=" "," ",IF($A28="Totals",SUM($G$9:$G27),FV($E$5/100,$C$5-$A28,0,-$F28)))</f>
        <v>2186.1734466204862</v>
      </c>
      <c r="H28" s="56"/>
    </row>
    <row r="29" spans="1:8" ht="15.75">
      <c r="A29" s="37">
        <f t="shared" si="1"/>
        <v>20</v>
      </c>
      <c r="B29" s="92">
        <f>'Amort. Table 1'!B29</f>
        <v>127288.04595724841</v>
      </c>
      <c r="C29" s="92">
        <f>IF(A29=" "," ",+'Amort. Table 2'!B29)</f>
        <v>149891.90610293538</v>
      </c>
      <c r="D29" s="98">
        <f>IF(A29="totals",SUM(D$9:D28),IF(A29=" "," ",IF('Amort. Table 1'!H29=SUM('Amort. Table 1'!$H$10:H28),0,IF(D28=0,0,+'Amort. Table 1'!H29))))</f>
        <v>1574.5259002973903</v>
      </c>
      <c r="E29" s="98">
        <f>IF(A29="Totals",SUM(E$10:E28),IF(A29=" "," ",+'Amort. Table 2'!H29))</f>
        <v>2556.6123922626489</v>
      </c>
      <c r="F29" s="125">
        <f>IF(A29="Totals",SUM($F$10:F28),IF(A29=" "," ",E29-D29))</f>
        <v>982.08649196525857</v>
      </c>
      <c r="G29" s="125">
        <f>IF($A29=" "," ",IF($A29="Totals",SUM($G$9:$G28),FV($E$5/100,$C$5-$A29,0,-$F29)))</f>
        <v>1931.9127756452065</v>
      </c>
      <c r="H29" s="56"/>
    </row>
    <row r="30" spans="1:8" ht="15.75">
      <c r="A30" s="37">
        <f t="shared" si="1"/>
        <v>21</v>
      </c>
      <c r="B30" s="92">
        <f>'Amort. Table 1'!B30</f>
        <v>117885.98053171397</v>
      </c>
      <c r="C30" s="92">
        <f>IF(A30=" "," ",+'Amort. Table 2'!B30)</f>
        <v>139689.36022559818</v>
      </c>
      <c r="D30" s="98">
        <f>IF(A30="totals",SUM(D$9:D29),IF(A30=" "," ",IF('Amort. Table 1'!H30=SUM('Amort. Table 1'!$H$10:H29),0,IF(D29=0,0,+'Amort. Table 1'!H30))))</f>
        <v>1451.9484116352833</v>
      </c>
      <c r="E30" s="98">
        <f>IF(A30="Totals",SUM(E$10:E29),IF(A30=" "," ",+'Amort. Table 2'!H30))</f>
        <v>2372.45118156638</v>
      </c>
      <c r="F30" s="125">
        <f>IF(A30="Totals",SUM($F$10:F29),IF(A30=" "," ",E30-D30))</f>
        <v>920.50276993109674</v>
      </c>
      <c r="G30" s="125">
        <f>IF($A30=" "," ",IF($A30="Totals",SUM($G$9:$G29),FV($E$5/100,$C$5-$A30,0,-$F30)))</f>
        <v>1692.3067974380951</v>
      </c>
      <c r="H30" s="56"/>
    </row>
    <row r="31" spans="1:8" ht="15.75">
      <c r="A31" s="37">
        <f t="shared" si="1"/>
        <v>22</v>
      </c>
      <c r="B31" s="92">
        <f>'Amort. Table 1'!B31</f>
        <v>108100.86045411044</v>
      </c>
      <c r="C31" s="92">
        <f>IF(A31=" "," ",+'Amort. Table 2'!B31)</f>
        <v>128911.31056483515</v>
      </c>
      <c r="D31" s="98">
        <f>IF(A31="totals",SUM(D$9:D30),IF(A31=" "," ",IF('Amort. Table 1'!H31=SUM('Amort. Table 1'!$H$10:H30),0,IF(D30=0,0,+'Amort. Table 1'!H31))))</f>
        <v>1324.3769269578456</v>
      </c>
      <c r="E31" s="98">
        <f>IF(A31="Totals",SUM(E$10:E30),IF(A31=" "," ",+'Amort. Table 2'!H31))</f>
        <v>2177.9018310087176</v>
      </c>
      <c r="F31" s="125">
        <f>IF(A31="Totals",SUM($F$10:F30),IF(A31=" "," ",E31-D31))</f>
        <v>853.52490405087201</v>
      </c>
      <c r="G31" s="125">
        <f>IF($A31=" "," ",IF($A31="Totals",SUM($G$9:$G30),FV($E$5/100,$C$5-$A31,0,-$F31)))</f>
        <v>1466.5146942825741</v>
      </c>
      <c r="H31" s="56"/>
    </row>
    <row r="32" spans="1:8" ht="15.75">
      <c r="A32" s="37">
        <f t="shared" si="1"/>
        <v>23</v>
      </c>
      <c r="B32" s="92">
        <f>'Amort. Table 1'!B32</f>
        <v>97917.079486889925</v>
      </c>
      <c r="C32" s="92">
        <f>IF(A32=" "," ",+'Amort. Table 2'!B32)</f>
        <v>117525.29418357942</v>
      </c>
      <c r="D32" s="98">
        <f>IF(A32="totals",SUM(D$9:D31),IF(A32=" "," ",IF('Amort. Table 1'!H32=SUM('Amort. Table 1'!$H$10:H31),0,IF(D31=0,0,+'Amort. Table 1'!H32))))</f>
        <v>1191.6079831620837</v>
      </c>
      <c r="E32" s="98">
        <f>IF(A32="Totals",SUM(E$10:E31),IF(A32=" "," ",+'Amort. Table 2'!H32))</f>
        <v>1972.3783678467014</v>
      </c>
      <c r="F32" s="125">
        <f>IF(A32="Totals",SUM($F$10:F31),IF(A32=" "," ",E32-D32))</f>
        <v>780.77038468461774</v>
      </c>
      <c r="G32" s="125">
        <f>IF($A32=" "," ",IF($A32="Totals",SUM($G$9:$G31),FV($E$5/100,$C$5-$A32,0,-$F32)))</f>
        <v>1253.7466211094975</v>
      </c>
      <c r="H32" s="56"/>
    </row>
    <row r="33" spans="1:8" ht="15.75">
      <c r="A33" s="37">
        <f t="shared" si="1"/>
        <v>24</v>
      </c>
      <c r="B33" s="92">
        <f>'Amort. Table 1'!B33</f>
        <v>87318.39557030765</v>
      </c>
      <c r="C33" s="92">
        <f>IF(A33=" "," ",+'Amort. Table 2'!B33)</f>
        <v>105497.01697994239</v>
      </c>
      <c r="D33" s="98">
        <f>IF(A33="totals",SUM(D$9:D32),IF(A33=" "," ",IF('Amort. Table 1'!H33=SUM('Amort. Table 1'!$H$10:H32),0,IF(D32=0,0,+'Amort. Table 1'!H33))))</f>
        <v>1053.4298277442501</v>
      </c>
      <c r="E33" s="98">
        <f>IF(A33="Totals",SUM(E$10:E32),IF(A33=" "," ",+'Amort. Table 2'!H33))</f>
        <v>1755.2617658686963</v>
      </c>
      <c r="F33" s="125">
        <f>IF(A33="Totals",SUM($F$10:F32),IF(A33=" "," ",E33-D33))</f>
        <v>701.8319381244462</v>
      </c>
      <c r="G33" s="125">
        <f>IF($A33=" "," ",IF($A33="Totals",SUM($G$9:$G32),FV($E$5/100,$C$5-$A33,0,-$F33)))</f>
        <v>1053.2604914403657</v>
      </c>
      <c r="H33" s="56"/>
    </row>
    <row r="34" spans="1:8" ht="15.75">
      <c r="A34" s="37">
        <f t="shared" si="1"/>
        <v>25</v>
      </c>
      <c r="B34" s="92">
        <f>'Amort. Table 1'!B34</f>
        <v>76287.904918044645</v>
      </c>
      <c r="C34" s="92">
        <f>IF(A34=" "," ",+'Amort. Table 2'!B34)</f>
        <v>92790.250395124094</v>
      </c>
      <c r="D34" s="98">
        <f>IF(A34="totals",SUM(D$9:D33),IF(A34=" "," ",IF('Amort. Table 1'!H34=SUM('Amort. Table 1'!$H$10:H33),0,IF(D33=0,0,+'Amort. Table 1'!H34))))</f>
        <v>909.62208107688173</v>
      </c>
      <c r="E34" s="98">
        <f>IF(A34="Totals",SUM(E$10:E33),IF(A34=" "," ",+'Amort. Table 2'!H34))</f>
        <v>1525.8980809189286</v>
      </c>
      <c r="F34" s="125">
        <f>IF(A34="Totals",SUM($F$10:F33),IF(A34=" "," ",E34-D34))</f>
        <v>616.27599984204687</v>
      </c>
      <c r="G34" s="125">
        <f>IF($A34=" "," ",IF($A34="Totals",SUM($G$9:$G33),FV($E$5/100,$C$5-$A34,0,-$F34)))</f>
        <v>864.35897016733588</v>
      </c>
      <c r="H34" s="56"/>
    </row>
    <row r="35" spans="1:8" ht="15.75">
      <c r="A35" s="37">
        <f t="shared" si="1"/>
        <v>26</v>
      </c>
      <c r="B35" s="92">
        <f>'Amort. Table 1'!B35</f>
        <v>64808.015057446115</v>
      </c>
      <c r="C35" s="92">
        <f>IF(A35=" "," ",+'Amort. Table 2'!B35)</f>
        <v>79366.722294837775</v>
      </c>
      <c r="D35" s="98">
        <f>IF(A35="totals",SUM(D$9:D34),IF(A35=" "," ",IF('Amort. Table 1'!H35=SUM('Amort. Table 1'!$H$10:H34),0,IF(D34=0,0,+'Amort. Table 1'!H35))))</f>
        <v>759.9553849264671</v>
      </c>
      <c r="E35" s="98">
        <f>IF(A35="Totals",SUM(E$10:E34),IF(A35=" "," ",+'Amort. Table 2'!H35))</f>
        <v>1283.5964812510042</v>
      </c>
      <c r="F35" s="125">
        <f>IF(A35="Totals",SUM($F$10:F34),IF(A35=" "," ",E35-D35))</f>
        <v>523.6410963245371</v>
      </c>
      <c r="G35" s="125">
        <f>IF($A35=" "," ",IF($A35="Totals",SUM($G$9:$G34),FV($E$5/100,$C$5-$A35,0,-$F35)))</f>
        <v>686.38665973422894</v>
      </c>
      <c r="H35" s="56"/>
    </row>
    <row r="36" spans="1:8" ht="15.75">
      <c r="A36" s="37">
        <f t="shared" si="1"/>
        <v>27</v>
      </c>
      <c r="B36" s="92">
        <f>'Amort. Table 1'!B36</f>
        <v>52860.416771377539</v>
      </c>
      <c r="C36" s="92">
        <f>IF(A36=" "," ",+'Amort. Table 2'!B36)</f>
        <v>65186.001695589192</v>
      </c>
      <c r="D36" s="98">
        <f>IF(A36="totals",SUM(D$9:D35),IF(A36=" "," ",IF('Amort. Table 1'!H36=SUM('Amort. Table 1'!$H$10:H35),0,IF(D35=0,0,+'Amort. Table 1'!H36))))</f>
        <v>604.19103665117348</v>
      </c>
      <c r="E36" s="98">
        <f>IF(A36="Totals",SUM(E$10:E35),IF(A36=" "," ",+'Amort. Table 2'!H36))</f>
        <v>1027.6271667778212</v>
      </c>
      <c r="F36" s="125">
        <f>IF(A36="Totals",SUM($F$10:F35),IF(A36=" "," ",E36-D36))</f>
        <v>423.43613012664775</v>
      </c>
      <c r="G36" s="125">
        <f>IF($A36=" "," ",IF($A36="Totals",SUM($G$9:$G35),FV($E$5/100,$C$5-$A36,0,-$F36)))</f>
        <v>518.72746715873893</v>
      </c>
      <c r="H36" s="56"/>
    </row>
    <row r="37" spans="1:8" ht="15.75">
      <c r="A37" s="37">
        <f t="shared" si="1"/>
        <v>28</v>
      </c>
      <c r="B37" s="92">
        <f>'Amort. Table 1'!B37</f>
        <v>40426.05489694867</v>
      </c>
      <c r="C37" s="92">
        <f>IF(A37=" "," ",+'Amort. Table 2'!B37)</f>
        <v>50205.376988611912</v>
      </c>
      <c r="D37" s="98">
        <f>IF(A37="totals",SUM(D$9:D36),IF(A37=" "," ",IF('Amort. Table 1'!H37=SUM('Amort. Table 1'!$H$10:H36),0,IF(D36=0,0,+'Amort. Table 1'!H37))))</f>
        <v>442.08060849525327</v>
      </c>
      <c r="E37" s="98">
        <f>IF(A37="Totals",SUM(E$10:E36),IF(A37=" "," ",+'Amort. Table 2'!H37))</f>
        <v>757.21917095085371</v>
      </c>
      <c r="F37" s="125">
        <f>IF(A37="Totals",SUM($F$10:F36),IF(A37=" "," ",E37-D37))</f>
        <v>315.13856245560044</v>
      </c>
      <c r="G37" s="125">
        <f>IF($A37=" "," ",IF($A37="Totals",SUM($G$9:$G36),FV($E$5/100,$C$5-$A37,0,-$F37)))</f>
        <v>360.80214015541696</v>
      </c>
      <c r="H37" s="56"/>
    </row>
    <row r="38" spans="1:8" ht="15.75">
      <c r="A38" s="37">
        <f t="shared" si="1"/>
        <v>29</v>
      </c>
      <c r="B38" s="92">
        <f>'Amort. Table 1'!B38</f>
        <v>27485.09793453255</v>
      </c>
      <c r="C38" s="92">
        <f>IF(A38=" "," ",+'Amort. Table 2'!B38)</f>
        <v>34379.727294675358</v>
      </c>
      <c r="D38" s="98">
        <f>IF(A38="totals",SUM(D$9:D37),IF(A38=" "," ",IF('Amort. Table 1'!H38=SUM('Amort. Table 1'!$H$10:H37),0,IF(D37=0,0,+'Amort. Table 1'!H38))))</f>
        <v>273.36555137287183</v>
      </c>
      <c r="E38" s="98">
        <f>IF(A38="Totals",SUM(E$10:E37),IF(A38=" "," ",+'Amort. Table 2'!H38))</f>
        <v>471.55803864814573</v>
      </c>
      <c r="F38" s="125">
        <f>IF(A38="Totals",SUM($F$10:F37),IF(A38=" "," ",E38-D38))</f>
        <v>198.19248727527389</v>
      </c>
      <c r="G38" s="125">
        <f>IF($A38=" "," ",IF($A38="Totals",SUM($G$9:$G37),FV($E$5/100,$C$5-$A38,0,-$F38)))</f>
        <v>212.06596138454307</v>
      </c>
      <c r="H38" s="56"/>
    </row>
    <row r="39" spans="1:8" ht="15.75">
      <c r="A39" s="37">
        <f t="shared" si="1"/>
        <v>30</v>
      </c>
      <c r="B39" s="92">
        <f>'Amort. Table 1'!B39</f>
        <v>14016.906418608989</v>
      </c>
      <c r="C39" s="92">
        <f>IF(A39=" "," ",+'Amort. Table 2'!B39)</f>
        <v>17661.386562292842</v>
      </c>
      <c r="D39" s="98">
        <f>IF(A39="totals",SUM(D$9:D38),IF(A39=" "," ",IF('Amort. Table 1'!H39=SUM('Amort. Table 1'!$H$10:H38),0,IF(D38=0,0,+'Amort. Table 1'!H39))))</f>
        <v>97.776782509523912</v>
      </c>
      <c r="E39" s="98">
        <f>IF(A39="Totals",SUM(E$10:E38),IF(A39=" "," ",+'Amort. Table 2'!H39))</f>
        <v>169.78337307693087</v>
      </c>
      <c r="F39" s="125">
        <f>IF(A39="Totals",SUM($F$10:F38),IF(A39=" "," ",E39-D39))</f>
        <v>72.00659056740696</v>
      </c>
      <c r="G39" s="125">
        <f>IF($A39=" "," ",IF($A39="Totals",SUM($G$9:$G38),FV($E$5/100,$C$5-$A39,0,-$F39)))</f>
        <v>72.00659056740696</v>
      </c>
      <c r="H39" s="56"/>
    </row>
    <row r="40" spans="1:8" ht="15.75">
      <c r="A40" s="37" t="str">
        <f t="shared" si="1"/>
        <v>Totals</v>
      </c>
      <c r="B40" s="92">
        <f>'Amort. Table 1'!B40</f>
        <v>-1.2534655979834497E-8</v>
      </c>
      <c r="C40" s="92">
        <f>IF(A40=" "," ",+'Amort. Table 2'!B40)</f>
        <v>2.801243681460619E-10</v>
      </c>
      <c r="D40" s="98">
        <f>IF(A40="totals",SUM(D$9:D39),IF(A40=" "," ",IF('Amort. Table 1'!H40=SUM('Amort. Table 1'!$H$10:H39),0,IF(D39=0,0,+'Amort. Table 1'!H40))))</f>
        <v>57495.60509404834</v>
      </c>
      <c r="E40" s="98">
        <f>IF(A40="Totals",SUM(E$10:E39),IF(A40=" "," ",+'Amort. Table 2'!H40))</f>
        <v>89202.812190316603</v>
      </c>
      <c r="F40" s="125">
        <f>IF(A40="Totals",SUM($F$10:F39),IF(A40=" "," ",E40-D40))</f>
        <v>31707.207096268277</v>
      </c>
      <c r="G40" s="125">
        <f>IF($A40=" "," ",IF($A40="Totals",SUM($G$9:$G39),FV($E$5/100,$C$5-$A40,0,-$F40)))</f>
        <v>118622.8019840435</v>
      </c>
      <c r="H40" s="56"/>
    </row>
    <row r="41" spans="1:8" ht="15.75">
      <c r="A41" s="37" t="str">
        <f t="shared" si="1"/>
        <v xml:space="preserve"> </v>
      </c>
      <c r="B41" s="92" t="str">
        <f>'Amort. Table 1'!B41</f>
        <v xml:space="preserve"> </v>
      </c>
      <c r="C41" s="92" t="str">
        <f>IF(A41=" "," ",+'Amort. Table 2'!B41)</f>
        <v xml:space="preserve"> </v>
      </c>
      <c r="D41" s="98" t="str">
        <f>IF(A41="totals",SUM(D$9:D40),IF(A41=" "," ",IF('Amort. Table 1'!H41=SUM('Amort. Table 1'!$H$10:H40),0,IF(D40=0,0,+'Amort. Table 1'!H41))))</f>
        <v xml:space="preserve"> </v>
      </c>
      <c r="E41" s="98" t="str">
        <f>IF(A41="Totals",SUM(E$10:E40),IF(A41=" "," ",+'Amort. Table 2'!H41))</f>
        <v xml:space="preserve"> </v>
      </c>
      <c r="F41" s="125" t="str">
        <f>IF(A41="Totals",SUM($F$10:F40),IF(A41=" "," ",E41-D41))</f>
        <v xml:space="preserve"> </v>
      </c>
      <c r="G41" s="125" t="str">
        <f>IF($A41=" "," ",IF($A41="Totals",SUM($G$9:$G40),FV($E$5/100,$C$5-$A41,0,-$F41)))</f>
        <v xml:space="preserve"> </v>
      </c>
      <c r="H41" s="56"/>
    </row>
    <row r="42" spans="1:8" ht="15.75">
      <c r="A42" s="37" t="str">
        <f t="shared" si="1"/>
        <v xml:space="preserve"> </v>
      </c>
      <c r="B42" s="92" t="str">
        <f>'Amort. Table 1'!B42</f>
        <v xml:space="preserve"> </v>
      </c>
      <c r="C42" s="92" t="str">
        <f>IF(A42=" "," ",+'Amort. Table 2'!B42)</f>
        <v xml:space="preserve"> </v>
      </c>
      <c r="D42" s="98">
        <f>SUM(E1:E24)</f>
        <v>61260.422503912603</v>
      </c>
      <c r="E42" s="98" t="str">
        <f>IF(A42="Totals",SUM(E$10:E41),IF(A42=" "," ",+'Amort. Table 2'!H42))</f>
        <v xml:space="preserve"> </v>
      </c>
      <c r="F42" s="125" t="str">
        <f>IF(A42="Totals",SUM($F$10:F41),IF(A42=" "," ",E42-D42))</f>
        <v xml:space="preserve"> </v>
      </c>
      <c r="G42" s="125" t="str">
        <f>IF($A42=" "," ",IF($A42="Totals",SUM($G$9:$G41),FV($E$5/100,$C$5-$A42,0,-$F42)))</f>
        <v xml:space="preserve"> </v>
      </c>
      <c r="H42" s="56"/>
    </row>
    <row r="43" spans="1:8" ht="15.75">
      <c r="A43" s="37" t="str">
        <f t="shared" si="1"/>
        <v xml:space="preserve"> </v>
      </c>
      <c r="B43" s="92" t="str">
        <f>'Amort. Table 1'!B43</f>
        <v xml:space="preserve"> </v>
      </c>
      <c r="C43" s="92" t="str">
        <f>IF(A43=" "," ",+'Amort. Table 2'!B43)</f>
        <v xml:space="preserve"> </v>
      </c>
      <c r="D43" s="98" t="str">
        <f>IF(A43="totals",SUM(D$9:D42),IF(A43=" "," ",IF('Amort. Table 1'!H43=SUM('Amort. Table 1'!$H$10:H42),0,IF(D42=0,0,+'Amort. Table 1'!H43))))</f>
        <v xml:space="preserve"> </v>
      </c>
      <c r="E43" s="98" t="str">
        <f>IF(A43="Totals",SUM(E$10:E42),IF(A43=" "," ",+'Amort. Table 2'!H43))</f>
        <v xml:space="preserve"> </v>
      </c>
      <c r="F43" s="125" t="str">
        <f>IF(A43="Totals",SUM($F$10:F42),IF(A43=" "," ",E43-D43))</f>
        <v xml:space="preserve"> </v>
      </c>
      <c r="G43" s="125" t="str">
        <f>IF($A43=" "," ",IF($A43="Totals",SUM($G$9:$G42),FV($E$5/100,$C$5-$A43,0,-$F43)))</f>
        <v xml:space="preserve"> </v>
      </c>
      <c r="H43" s="56"/>
    </row>
    <row r="44" spans="1:8" ht="15.75">
      <c r="A44" s="37" t="str">
        <f t="shared" ref="A44:A59" si="2">IF(A43=" "," ",IF(A43="Totals"," ",IF(A43=$C$5,"Totals",IF(A43&gt;$C$5-1,$C$5,A43+1))))</f>
        <v xml:space="preserve"> </v>
      </c>
      <c r="B44" s="92" t="str">
        <f>'Amort. Table 1'!B44</f>
        <v xml:space="preserve"> </v>
      </c>
      <c r="C44" s="92" t="str">
        <f>IF(A44=" "," ",+'Amort. Table 2'!B44)</f>
        <v xml:space="preserve"> </v>
      </c>
      <c r="D44" s="98" t="str">
        <f>IF(A44="totals",SUM(D$9:D43),IF(A44=" "," ",IF('Amort. Table 1'!H44=SUM('Amort. Table 1'!$H$10:H43),0,IF(D43=0,0,+'Amort. Table 1'!H44))))</f>
        <v xml:space="preserve"> </v>
      </c>
      <c r="E44" s="98" t="str">
        <f>IF(A44="Totals",SUM(E$10:E43),IF(A44=" "," ",+'Amort. Table 2'!H44))</f>
        <v xml:space="preserve"> </v>
      </c>
      <c r="F44" s="125" t="str">
        <f>IF(A44="Totals",SUM($F$10:F43),IF(A44=" "," ",E44-D44))</f>
        <v xml:space="preserve"> </v>
      </c>
      <c r="G44" s="125" t="str">
        <f>IF($A44=" "," ",IF($A44="Totals",SUM($G$9:$G43),FV($E$5/100,$C$5-$A44,0,-$F44)))</f>
        <v xml:space="preserve"> </v>
      </c>
      <c r="H44" s="56"/>
    </row>
    <row r="45" spans="1:8" ht="15.75">
      <c r="A45" s="37" t="str">
        <f t="shared" si="2"/>
        <v xml:space="preserve"> </v>
      </c>
      <c r="B45" s="92" t="str">
        <f>'Amort. Table 1'!B45</f>
        <v xml:space="preserve"> </v>
      </c>
      <c r="C45" s="92" t="str">
        <f>IF(A45=" "," ",+'Amort. Table 2'!B45)</f>
        <v xml:space="preserve"> </v>
      </c>
      <c r="D45" s="98" t="str">
        <f>IF(A45="totals",SUM(D$9:D44),IF(A45=" "," ",IF('Amort. Table 1'!H45=SUM('Amort. Table 1'!$H$10:H44),0,IF(D44=0,0,+'Amort. Table 1'!H45))))</f>
        <v xml:space="preserve"> </v>
      </c>
      <c r="E45" s="98" t="str">
        <f>IF(A45="Totals",SUM(E$10:E44),IF(A45=" "," ",+'Amort. Table 2'!H45))</f>
        <v xml:space="preserve"> </v>
      </c>
      <c r="F45" s="125" t="str">
        <f>IF(A45="Totals",SUM($F$10:F44),IF(A45=" "," ",E45-D45))</f>
        <v xml:space="preserve"> </v>
      </c>
      <c r="G45" s="125" t="str">
        <f>IF($A45=" "," ",IF($A45="Totals",SUM($G$9:$G44),FV($E$5/100,$C$5-$A45,0,-$F45)))</f>
        <v xml:space="preserve"> </v>
      </c>
      <c r="H45" s="56"/>
    </row>
    <row r="46" spans="1:8" ht="15.75">
      <c r="A46" s="37" t="str">
        <f t="shared" si="2"/>
        <v xml:space="preserve"> </v>
      </c>
      <c r="B46" s="92" t="str">
        <f>'Amort. Table 1'!B46</f>
        <v xml:space="preserve"> </v>
      </c>
      <c r="C46" s="92" t="str">
        <f>IF(A46=" "," ",+'Amort. Table 2'!B46)</f>
        <v xml:space="preserve"> </v>
      </c>
      <c r="D46" s="98" t="str">
        <f>IF(A46="totals",SUM(D$9:D45),IF(A46=" "," ",IF('Amort. Table 1'!H46=SUM('Amort. Table 1'!$H$10:H45),0,IF(D45=0,0,+'Amort. Table 1'!H46))))</f>
        <v xml:space="preserve"> </v>
      </c>
      <c r="E46" s="98" t="str">
        <f>IF(A46="Totals",SUM(E$10:E45),IF(A46=" "," ",+'Amort. Table 2'!H46))</f>
        <v xml:space="preserve"> </v>
      </c>
      <c r="F46" s="125" t="str">
        <f>IF(A46="Totals",SUM($F$10:F45),IF(A46=" "," ",E46-D46))</f>
        <v xml:space="preserve"> </v>
      </c>
      <c r="G46" s="125" t="str">
        <f>IF($A46=" "," ",IF($A46="Totals",SUM($G$9:$G45),FV($E$5/100,$C$5-$A46,0,-$F46)))</f>
        <v xml:space="preserve"> </v>
      </c>
      <c r="H46" s="56"/>
    </row>
    <row r="47" spans="1:8" ht="15.75">
      <c r="A47" s="37" t="str">
        <f t="shared" si="2"/>
        <v xml:space="preserve"> </v>
      </c>
      <c r="B47" s="92" t="str">
        <f>'Amort. Table 1'!B47</f>
        <v xml:space="preserve"> </v>
      </c>
      <c r="C47" s="92" t="str">
        <f>IF(A47=" "," ",+'Amort. Table 2'!B47)</f>
        <v xml:space="preserve"> </v>
      </c>
      <c r="D47" s="98" t="str">
        <f>IF(A47="totals",SUM(D$9:D46),IF(A47=" "," ",IF('Amort. Table 1'!H47=SUM('Amort. Table 1'!$H$10:H46),0,IF(D46=0,0,+'Amort. Table 1'!H47))))</f>
        <v xml:space="preserve"> </v>
      </c>
      <c r="E47" s="98" t="str">
        <f>IF(A47="Totals",SUM(E$10:E46),IF(A47=" "," ",+'Amort. Table 2'!H47))</f>
        <v xml:space="preserve"> </v>
      </c>
      <c r="F47" s="125" t="str">
        <f>IF(A47="Totals",SUM($F$10:F46),IF(A47=" "," ",E47-D47))</f>
        <v xml:space="preserve"> </v>
      </c>
      <c r="G47" s="125" t="str">
        <f>IF($A47=" "," ",IF($A47="Totals",SUM($G$9:$G46),FV($E$5/100,$C$5-$A47,0,-$F47)))</f>
        <v xml:space="preserve"> </v>
      </c>
      <c r="H47" s="56"/>
    </row>
    <row r="48" spans="1:8" ht="15.75">
      <c r="A48" s="37" t="str">
        <f t="shared" si="2"/>
        <v xml:space="preserve"> </v>
      </c>
      <c r="B48" s="92" t="str">
        <f>'Amort. Table 1'!B48</f>
        <v xml:space="preserve"> </v>
      </c>
      <c r="C48" s="92" t="str">
        <f>IF(A48=" "," ",+'Amort. Table 2'!B48)</f>
        <v xml:space="preserve"> </v>
      </c>
      <c r="D48" s="98" t="str">
        <f>IF(A48="totals",SUM(D$9:D47),IF(A48=" "," ",IF('Amort. Table 1'!H48=SUM('Amort. Table 1'!$H$10:H47),0,IF(D47=0,0,+'Amort. Table 1'!H48))))</f>
        <v xml:space="preserve"> </v>
      </c>
      <c r="E48" s="98" t="str">
        <f>IF(A48="Totals",SUM(E$10:E47),IF(A48=" "," ",+'Amort. Table 2'!H48))</f>
        <v xml:space="preserve"> </v>
      </c>
      <c r="F48" s="125" t="str">
        <f>IF(A48="Totals",SUM($F$10:F47),IF(A48=" "," ",E48-D48))</f>
        <v xml:space="preserve"> </v>
      </c>
      <c r="G48" s="125" t="str">
        <f>IF($A48=" "," ",IF($A48="Totals",SUM($G$9:$G47),FV($E$5/100,$C$5-$A48,0,-$F48)))</f>
        <v xml:space="preserve"> </v>
      </c>
      <c r="H48" s="56"/>
    </row>
    <row r="49" spans="1:8" ht="15.75">
      <c r="A49" s="37" t="str">
        <f t="shared" si="2"/>
        <v xml:space="preserve"> </v>
      </c>
      <c r="B49" s="92" t="str">
        <f>'Amort. Table 1'!B49</f>
        <v xml:space="preserve"> </v>
      </c>
      <c r="C49" s="92" t="str">
        <f>IF(A49=" "," ",+'Amort. Table 2'!B49)</f>
        <v xml:space="preserve"> </v>
      </c>
      <c r="D49" s="98" t="str">
        <f>IF(A49="totals",SUM(D$9:D48),IF(A49=" "," ",IF('Amort. Table 1'!H49=SUM('Amort. Table 1'!$H$10:H48),0,IF(D48=0,0,+'Amort. Table 1'!H49))))</f>
        <v xml:space="preserve"> </v>
      </c>
      <c r="E49" s="98" t="str">
        <f>IF(A49="Totals",SUM(E$10:E48),IF(A49=" "," ",+'Amort. Table 2'!H49))</f>
        <v xml:space="preserve"> </v>
      </c>
      <c r="F49" s="125" t="str">
        <f>IF(A49="Totals",SUM($F$10:F48),IF(A49=" "," ",E49-D49))</f>
        <v xml:space="preserve"> </v>
      </c>
      <c r="G49" s="125" t="str">
        <f>IF($A49=" "," ",IF($A49="Totals",SUM($G$9:$G48),FV($E$5/100,$C$5-$A49,0,-$F49)))</f>
        <v xml:space="preserve"> </v>
      </c>
      <c r="H49" s="56"/>
    </row>
    <row r="50" spans="1:8" ht="15.75">
      <c r="A50" s="37" t="str">
        <f t="shared" si="2"/>
        <v xml:space="preserve"> </v>
      </c>
      <c r="B50" s="92" t="str">
        <f>'Amort. Table 1'!B50</f>
        <v xml:space="preserve"> </v>
      </c>
      <c r="C50" s="92" t="str">
        <f>IF(A50=" "," ",+'Amort. Table 2'!B50)</f>
        <v xml:space="preserve"> </v>
      </c>
      <c r="D50" s="98" t="str">
        <f>IF(A50="totals",SUM(D$9:D49),IF(A50=" "," ",IF('Amort. Table 1'!H50=SUM('Amort. Table 1'!$H$10:H49),0,IF(D49=0,0,+'Amort. Table 1'!H50))))</f>
        <v xml:space="preserve"> </v>
      </c>
      <c r="E50" s="98" t="str">
        <f>IF(A50="Totals",SUM(E$10:E49),IF(A50=" "," ",+'Amort. Table 2'!H50))</f>
        <v xml:space="preserve"> </v>
      </c>
      <c r="F50" s="125" t="str">
        <f>IF(A50="Totals",SUM($F$10:F49),IF(A50=" "," ",E50-D50))</f>
        <v xml:space="preserve"> </v>
      </c>
      <c r="G50" s="125" t="str">
        <f>IF($A50=" "," ",IF($A50="Totals",SUM($G$9:$G49),FV($E$5/100,$C$5-$A50,0,-$F50)))</f>
        <v xml:space="preserve"> </v>
      </c>
      <c r="H50" s="56"/>
    </row>
    <row r="51" spans="1:8" ht="15.75">
      <c r="A51" s="37" t="str">
        <f t="shared" si="2"/>
        <v xml:space="preserve"> </v>
      </c>
      <c r="B51" s="92" t="str">
        <f>'Amort. Table 1'!B51</f>
        <v xml:space="preserve"> </v>
      </c>
      <c r="C51" s="92" t="str">
        <f>IF(A51=" "," ",+'Amort. Table 2'!B51)</f>
        <v xml:space="preserve"> </v>
      </c>
      <c r="D51" s="98" t="str">
        <f>IF(A51="totals",SUM(D$9:D50),IF(A51=" "," ",IF('Amort. Table 1'!H51=SUM('Amort. Table 1'!$H$10:H50),0,IF(D50=0,0,+'Amort. Table 1'!H51))))</f>
        <v xml:space="preserve"> </v>
      </c>
      <c r="E51" s="98" t="str">
        <f>IF(A51="Totals",SUM(E$10:E50),IF(A51=" "," ",+'Amort. Table 2'!H51))</f>
        <v xml:space="preserve"> </v>
      </c>
      <c r="F51" s="125" t="str">
        <f>IF(A51="Totals",SUM($F$10:F50),IF(A51=" "," ",E51-D51))</f>
        <v xml:space="preserve"> </v>
      </c>
      <c r="G51" s="125" t="str">
        <f>IF($A51=" "," ",IF($A51="Totals",SUM($G$9:$G50),FV($E$5/100,$C$5-$A51,0,-$F51)))</f>
        <v xml:space="preserve"> </v>
      </c>
      <c r="H51" s="56"/>
    </row>
    <row r="52" spans="1:8" ht="15.75">
      <c r="A52" s="37" t="str">
        <f t="shared" si="2"/>
        <v xml:space="preserve"> </v>
      </c>
      <c r="B52" s="92" t="str">
        <f>'Amort. Table 1'!B52</f>
        <v xml:space="preserve"> </v>
      </c>
      <c r="C52" s="92" t="str">
        <f>IF(A52=" "," ",+'Amort. Table 2'!B52)</f>
        <v xml:space="preserve"> </v>
      </c>
      <c r="D52" s="98" t="str">
        <f>IF(A52="totals",SUM(D$9:D51),IF(A52=" "," ",IF('Amort. Table 1'!H52=SUM('Amort. Table 1'!$H$10:H51),0,IF(D51=0,0,+'Amort. Table 1'!H52))))</f>
        <v xml:space="preserve"> </v>
      </c>
      <c r="E52" s="98" t="str">
        <f>IF(A52="Totals",SUM(E$10:E51),IF(A52=" "," ",+'Amort. Table 2'!H52))</f>
        <v xml:space="preserve"> </v>
      </c>
      <c r="F52" s="125" t="str">
        <f>IF(A52="Totals",SUM($F$10:F51),IF(A52=" "," ",E52-D52))</f>
        <v xml:space="preserve"> </v>
      </c>
      <c r="G52" s="125" t="str">
        <f>IF($A52=" "," ",IF($A52="Totals",SUM($G$9:$G51),FV($E$5/100,$C$5-$A52,0,-$F52)))</f>
        <v xml:space="preserve"> </v>
      </c>
      <c r="H52" s="56"/>
    </row>
    <row r="53" spans="1:8" ht="15.75">
      <c r="A53" s="37" t="str">
        <f t="shared" si="2"/>
        <v xml:space="preserve"> </v>
      </c>
      <c r="B53" s="92" t="str">
        <f>'Amort. Table 1'!B53</f>
        <v xml:space="preserve"> </v>
      </c>
      <c r="C53" s="92" t="str">
        <f>IF(A53=" "," ",+'Amort. Table 2'!B53)</f>
        <v xml:space="preserve"> </v>
      </c>
      <c r="D53" s="98" t="str">
        <f>IF(A53="totals",SUM(D$9:D52),IF(A53=" "," ",IF('Amort. Table 1'!H53=SUM('Amort. Table 1'!$H$10:H52),0,IF(D52=0,0,+'Amort. Table 1'!H53))))</f>
        <v xml:space="preserve"> </v>
      </c>
      <c r="E53" s="98" t="str">
        <f>IF(A53="Totals",SUM(E$10:E52),IF(A53=" "," ",+'Amort. Table 2'!H53))</f>
        <v xml:space="preserve"> </v>
      </c>
      <c r="F53" s="125" t="str">
        <f>IF(A53="Totals",SUM($F$10:F52),IF(A53=" "," ",E53-D53))</f>
        <v xml:space="preserve"> </v>
      </c>
      <c r="G53" s="125" t="str">
        <f>IF($A53=" "," ",IF($A53="Totals",SUM($G$9:$G52),FV($E$5/100,$C$5-$A53,0,-$F53)))</f>
        <v xml:space="preserve"> </v>
      </c>
      <c r="H53" s="56"/>
    </row>
    <row r="54" spans="1:8" ht="15.75">
      <c r="A54" s="37" t="str">
        <f t="shared" si="2"/>
        <v xml:space="preserve"> </v>
      </c>
      <c r="B54" s="92" t="str">
        <f>'Amort. Table 1'!B54</f>
        <v xml:space="preserve"> </v>
      </c>
      <c r="C54" s="92" t="str">
        <f>IF(A54=" "," ",+'Amort. Table 2'!B54)</f>
        <v xml:space="preserve"> </v>
      </c>
      <c r="D54" s="98" t="str">
        <f>IF(A54="totals",SUM(D$9:D53),IF(A54=" "," ",IF('Amort. Table 1'!H54=SUM('Amort. Table 1'!$H$10:H53),0,IF(D53=0,0,+'Amort. Table 1'!H54))))</f>
        <v xml:space="preserve"> </v>
      </c>
      <c r="E54" s="98" t="str">
        <f>IF(A54="Totals",SUM(E$10:E53),IF(A54=" "," ",+'Amort. Table 2'!H54))</f>
        <v xml:space="preserve"> </v>
      </c>
      <c r="F54" s="125" t="str">
        <f>IF(A54="Totals",SUM($F$10:F53),IF(A54=" "," ",E54-D54))</f>
        <v xml:space="preserve"> </v>
      </c>
      <c r="G54" s="125" t="str">
        <f>IF($A54=" "," ",IF($A54="Totals",SUM($G$9:$G53),FV($E$5/100,$C$5-$A54,0,-$F54)))</f>
        <v xml:space="preserve"> </v>
      </c>
      <c r="H54" s="56"/>
    </row>
    <row r="55" spans="1:8" ht="15.75">
      <c r="A55" s="37" t="str">
        <f t="shared" si="2"/>
        <v xml:space="preserve"> </v>
      </c>
      <c r="B55" s="92" t="str">
        <f>'Amort. Table 1'!B55</f>
        <v xml:space="preserve"> </v>
      </c>
      <c r="C55" s="92" t="str">
        <f>IF(A55=" "," ",+'Amort. Table 2'!B55)</f>
        <v xml:space="preserve"> </v>
      </c>
      <c r="D55" s="98" t="str">
        <f>IF(A55="totals",SUM(D$9:D54),IF(A55=" "," ",IF('Amort. Table 1'!H55=SUM('Amort. Table 1'!$H$10:H54),0,IF(D54=0,0,+'Amort. Table 1'!H55))))</f>
        <v xml:space="preserve"> </v>
      </c>
      <c r="E55" s="98" t="str">
        <f>IF(A55="Totals",SUM(E$10:E54),IF(A55=" "," ",+'Amort. Table 2'!H55))</f>
        <v xml:space="preserve"> </v>
      </c>
      <c r="F55" s="125" t="str">
        <f>IF(A55="Totals",SUM($F$10:F54),IF(A55=" "," ",E55-D55))</f>
        <v xml:space="preserve"> </v>
      </c>
      <c r="G55" s="125" t="str">
        <f>IF($A55=" "," ",IF($A55="Totals",SUM($G$9:$G54),FV($E$5/100,$C$5-$A55,0,-$F55)))</f>
        <v xml:space="preserve"> </v>
      </c>
      <c r="H55" s="56"/>
    </row>
    <row r="56" spans="1:8" ht="15.75">
      <c r="A56" s="37" t="str">
        <f t="shared" si="2"/>
        <v xml:space="preserve"> </v>
      </c>
      <c r="B56" s="92" t="str">
        <f>'Amort. Table 1'!B56</f>
        <v xml:space="preserve"> </v>
      </c>
      <c r="C56" s="92" t="str">
        <f>IF(A56=" "," ",+'Amort. Table 2'!B56)</f>
        <v xml:space="preserve"> </v>
      </c>
      <c r="D56" s="98" t="str">
        <f>IF(A56="totals",SUM(D$9:D55),IF(A56=" "," ",IF('Amort. Table 1'!H56=SUM('Amort. Table 1'!$H$10:H55),0,IF(D55=0,0,+'Amort. Table 1'!H56))))</f>
        <v xml:space="preserve"> </v>
      </c>
      <c r="E56" s="98" t="str">
        <f>IF(A56="Totals",SUM(E$10:E55),IF(A56=" "," ",+'Amort. Table 2'!H56))</f>
        <v xml:space="preserve"> </v>
      </c>
      <c r="F56" s="125" t="str">
        <f>IF(A56="Totals",SUM($F$10:F55),IF(A56=" "," ",E56-D56))</f>
        <v xml:space="preserve"> </v>
      </c>
      <c r="G56" s="125" t="str">
        <f>IF($A56=" "," ",IF($A56="Totals",SUM($G$9:$G55),FV($E$5/100,$C$5-$A56,0,-$F56)))</f>
        <v xml:space="preserve"> </v>
      </c>
      <c r="H56" s="56"/>
    </row>
    <row r="57" spans="1:8" ht="15.75">
      <c r="A57" s="37" t="str">
        <f t="shared" si="2"/>
        <v xml:space="preserve"> </v>
      </c>
      <c r="B57" s="92" t="str">
        <f>'Amort. Table 1'!B57</f>
        <v xml:space="preserve"> </v>
      </c>
      <c r="C57" s="92" t="str">
        <f>IF(A57=" "," ",+'Amort. Table 2'!B57)</f>
        <v xml:space="preserve"> </v>
      </c>
      <c r="D57" s="98" t="str">
        <f>IF(A57="totals",SUM(D$9:D56),IF(A57=" "," ",IF('Amort. Table 1'!H57=SUM('Amort. Table 1'!$H$10:H56),0,IF(D56=0,0,+'Amort. Table 1'!H57))))</f>
        <v xml:space="preserve"> </v>
      </c>
      <c r="E57" s="98" t="str">
        <f>IF(A57="Totals",SUM(E$10:E56),IF(A57=" "," ",+'Amort. Table 2'!H57))</f>
        <v xml:space="preserve"> </v>
      </c>
      <c r="F57" s="125" t="str">
        <f>IF(A57="Totals",SUM($F$10:F56),IF(A57=" "," ",E57-D57))</f>
        <v xml:space="preserve"> </v>
      </c>
      <c r="G57" s="125" t="str">
        <f>IF($A57=" "," ",IF($A57="Totals",SUM($G$9:$G56),FV($E$5/100,$C$5-$A57,0,-$F57)))</f>
        <v xml:space="preserve"> </v>
      </c>
      <c r="H57" s="56"/>
    </row>
    <row r="58" spans="1:8" ht="15.75">
      <c r="A58" s="37" t="str">
        <f t="shared" si="2"/>
        <v xml:space="preserve"> </v>
      </c>
      <c r="B58" s="92" t="str">
        <f>'Amort. Table 1'!B58</f>
        <v xml:space="preserve"> </v>
      </c>
      <c r="C58" s="92" t="str">
        <f>IF(A58=" "," ",+'Amort. Table 2'!B58)</f>
        <v xml:space="preserve"> </v>
      </c>
      <c r="D58" s="98" t="str">
        <f>IF(A58="totals",SUM(D$9:D57),IF(A58=" "," ",IF('Amort. Table 1'!H58=SUM('Amort. Table 1'!$H$10:H57),0,IF(D57=0,0,+'Amort. Table 1'!H58))))</f>
        <v xml:space="preserve"> </v>
      </c>
      <c r="E58" s="98" t="str">
        <f>IF(A58="Totals",SUM(E$10:E57),IF(A58=" "," ",+'Amort. Table 2'!H58))</f>
        <v xml:space="preserve"> </v>
      </c>
      <c r="F58" s="125" t="str">
        <f>IF(A58="Totals",SUM($F$10:F57),IF(A58=" "," ",E58-D58))</f>
        <v xml:space="preserve"> </v>
      </c>
      <c r="G58" s="125" t="str">
        <f>IF($A58=" "," ",IF($A58="Totals",SUM($G$9:$G57),FV($E$5/100,$C$5-$A58,0,-$F58)))</f>
        <v xml:space="preserve"> </v>
      </c>
      <c r="H58" s="56"/>
    </row>
    <row r="59" spans="1:8" ht="15.75">
      <c r="A59" s="37" t="str">
        <f t="shared" si="2"/>
        <v xml:space="preserve"> </v>
      </c>
      <c r="B59" s="92" t="str">
        <f>'Amort. Table 1'!B59</f>
        <v xml:space="preserve"> </v>
      </c>
      <c r="C59" s="92" t="str">
        <f>IF(A59=" "," ",+'Amort. Table 2'!B59)</f>
        <v xml:space="preserve"> </v>
      </c>
      <c r="D59" s="98" t="str">
        <f>IF(A59="totals",SUM(D$9:D58),IF(A59=" "," ",IF('Amort. Table 1'!H59=SUM('Amort. Table 1'!$H$10:H58),0,IF(D58=0,0,+'Amort. Table 1'!H59))))</f>
        <v xml:space="preserve"> </v>
      </c>
      <c r="E59" s="98" t="str">
        <f>IF(A59="Totals",SUM(E$10:E58),IF(A59=" "," ",+'Amort. Table 2'!H59))</f>
        <v xml:space="preserve"> </v>
      </c>
      <c r="F59" s="125" t="str">
        <f>IF(A59="Totals",SUM($F$10:F58),IF(A59=" "," ",E59-D59))</f>
        <v xml:space="preserve"> </v>
      </c>
      <c r="G59" s="125" t="str">
        <f>IF($A59=" "," ",IF($A59="Totals",SUM($G$9:$G58),FV($E$5/100,$C$5-$A59,0,-$F59)))</f>
        <v xml:space="preserve"> </v>
      </c>
      <c r="H59" s="56"/>
    </row>
    <row r="60" spans="1:8" ht="15.75">
      <c r="A60" s="37" t="str">
        <f>IF(A59=" "," ",IF(A59="Totals"," ",IF(A59=$C$5,"Totals",IF(A59&gt;$C$5-1,$C$5,A59+1))))</f>
        <v xml:space="preserve"> </v>
      </c>
      <c r="B60" s="92" t="str">
        <f>'Amort. Table 1'!B60</f>
        <v xml:space="preserve"> </v>
      </c>
      <c r="C60" s="92" t="str">
        <f>IF(A60=" "," ",+'Amort. Table 2'!B60)</f>
        <v xml:space="preserve"> </v>
      </c>
      <c r="D60" s="98" t="str">
        <f>IF(A60="totals",SUM(D$9:D59),IF(A60=" "," ",IF('Amort. Table 1'!H60=SUM('Amort. Table 1'!$H$10:H59),0,IF(D59=0,0,+'Amort. Table 1'!H60))))</f>
        <v xml:space="preserve"> </v>
      </c>
      <c r="E60" s="98" t="str">
        <f>IF(A60="Totals",SUM(E$10:E59),IF(A60=" "," ",+'Amort. Table 2'!H60))</f>
        <v xml:space="preserve"> </v>
      </c>
      <c r="F60" s="125" t="str">
        <f>IF(A60="Totals",SUM($F$10:F59),IF(A60=" "," ",E60-D60))</f>
        <v xml:space="preserve"> </v>
      </c>
      <c r="G60" s="125" t="str">
        <f>IF($A60=" "," ",IF($A60="Totals",SUM($G$9:$G59),FV($E$5/100,$C$5-$A60,0,-$F60)))</f>
        <v xml:space="preserve"> </v>
      </c>
      <c r="H60" s="56"/>
    </row>
    <row r="61" spans="1:8" ht="15.75">
      <c r="A61" s="37"/>
      <c r="B61" s="28"/>
      <c r="C61" s="28"/>
      <c r="D61" s="56"/>
      <c r="E61" s="56"/>
      <c r="F61" s="56"/>
      <c r="G61" s="56"/>
      <c r="H61" s="56"/>
    </row>
    <row r="62" spans="1:8" ht="15.75">
      <c r="A62" s="37"/>
      <c r="B62" s="28"/>
      <c r="C62" s="28"/>
      <c r="D62" s="56"/>
      <c r="E62" s="56"/>
      <c r="F62" s="56"/>
      <c r="G62" s="56"/>
      <c r="H62" s="56"/>
    </row>
  </sheetData>
  <phoneticPr fontId="0" type="noConversion"/>
  <printOptions horizontalCentered="1"/>
  <pageMargins left="0.75" right="0.75" top="1" bottom="1" header="0.5" footer="0.5"/>
  <pageSetup scale="78" orientation="portrait" r:id="rId1"/>
  <headerFooter alignWithMargins="0">
    <oddFooter>&amp;L&amp;8&amp;D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IV67"/>
  <sheetViews>
    <sheetView defaultGridColor="0" colorId="23" zoomScale="77" workbookViewId="0">
      <selection activeCell="M2" sqref="M2"/>
    </sheetView>
  </sheetViews>
  <sheetFormatPr defaultColWidth="9.77734375" defaultRowHeight="15.75"/>
  <cols>
    <col min="1" max="1" width="6.77734375" style="73" customWidth="1"/>
    <col min="2" max="2" width="9.77734375" customWidth="1"/>
    <col min="3" max="3" width="8.77734375" customWidth="1"/>
    <col min="4" max="4" width="9.88671875" customWidth="1"/>
    <col min="5" max="5" width="11.21875" customWidth="1"/>
    <col min="7" max="8" width="8.77734375" customWidth="1"/>
  </cols>
  <sheetData>
    <row r="1" spans="1:256" ht="40.5">
      <c r="A1" s="169" t="s">
        <v>59</v>
      </c>
      <c r="B1" s="170"/>
      <c r="C1" s="154"/>
      <c r="D1" s="154"/>
      <c r="E1" s="154"/>
      <c r="F1" s="147"/>
      <c r="G1" s="154"/>
      <c r="H1" s="154"/>
      <c r="I1" s="154"/>
      <c r="J1" s="147"/>
    </row>
    <row r="2" spans="1:256">
      <c r="B2" s="1"/>
      <c r="C2" s="74"/>
    </row>
    <row r="3" spans="1:256">
      <c r="B3" s="1"/>
      <c r="C3" s="137" t="s">
        <v>2</v>
      </c>
      <c r="D3" s="1"/>
      <c r="E3" s="137" t="s">
        <v>4</v>
      </c>
      <c r="F3" s="1"/>
      <c r="G3" s="137" t="s">
        <v>23</v>
      </c>
    </row>
    <row r="4" spans="1:256">
      <c r="B4" s="1"/>
      <c r="C4" s="133">
        <v>226888</v>
      </c>
      <c r="D4" s="1"/>
      <c r="E4" s="133">
        <v>0</v>
      </c>
      <c r="F4" s="1"/>
      <c r="G4" s="134">
        <v>20</v>
      </c>
    </row>
    <row r="5" spans="1:256">
      <c r="B5" s="1"/>
      <c r="C5" s="12"/>
    </row>
    <row r="6" spans="1:256">
      <c r="A6" s="75"/>
      <c r="B6" s="1"/>
      <c r="C6" s="138" t="s">
        <v>60</v>
      </c>
      <c r="D6" s="1"/>
      <c r="E6" s="138" t="s">
        <v>61</v>
      </c>
      <c r="F6" s="1"/>
      <c r="G6" s="138" t="s">
        <v>62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>
      <c r="B7" s="1"/>
      <c r="C7" s="137" t="s">
        <v>3</v>
      </c>
      <c r="D7" s="1"/>
      <c r="E7" s="137" t="s">
        <v>3</v>
      </c>
      <c r="F7" s="1"/>
      <c r="G7" s="137" t="s">
        <v>3</v>
      </c>
    </row>
    <row r="8" spans="1:256">
      <c r="B8" s="1"/>
      <c r="C8" s="135">
        <v>4</v>
      </c>
      <c r="D8" s="1"/>
      <c r="E8" s="135">
        <v>2</v>
      </c>
      <c r="F8" s="1"/>
      <c r="G8" s="135">
        <v>3</v>
      </c>
    </row>
    <row r="10" spans="1:256">
      <c r="B10" s="1"/>
      <c r="C10" s="137" t="s">
        <v>63</v>
      </c>
      <c r="D10" s="1"/>
      <c r="E10" s="137" t="s">
        <v>64</v>
      </c>
      <c r="F10" s="1"/>
      <c r="G10" s="137" t="s">
        <v>7</v>
      </c>
    </row>
    <row r="11" spans="1:256">
      <c r="B11" s="1"/>
      <c r="C11" s="136">
        <v>33</v>
      </c>
      <c r="D11" s="1"/>
      <c r="E11" s="136">
        <v>20</v>
      </c>
      <c r="F11" s="1"/>
      <c r="G11" s="131">
        <v>6</v>
      </c>
    </row>
    <row r="13" spans="1:256">
      <c r="A13" s="77"/>
      <c r="B13" s="78"/>
      <c r="C13" s="78"/>
      <c r="D13" s="78"/>
      <c r="E13" s="84" t="s">
        <v>65</v>
      </c>
      <c r="F13" s="84" t="s">
        <v>65</v>
      </c>
      <c r="G13" s="84" t="s">
        <v>66</v>
      </c>
      <c r="H13" s="84" t="s">
        <v>66</v>
      </c>
      <c r="I13" s="72"/>
      <c r="J13" s="72"/>
    </row>
    <row r="14" spans="1:256" ht="15">
      <c r="A14" s="85" t="s">
        <v>20</v>
      </c>
      <c r="B14" s="85" t="s">
        <v>36</v>
      </c>
      <c r="C14" s="85" t="s">
        <v>67</v>
      </c>
      <c r="D14" s="85" t="s">
        <v>60</v>
      </c>
      <c r="E14" s="85" t="s">
        <v>68</v>
      </c>
      <c r="F14" s="85" t="s">
        <v>69</v>
      </c>
      <c r="G14" s="85" t="s">
        <v>70</v>
      </c>
      <c r="H14" s="85" t="s">
        <v>71</v>
      </c>
      <c r="I14" s="85" t="s">
        <v>72</v>
      </c>
      <c r="J14" s="85" t="s">
        <v>12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pans="1:256">
      <c r="A15" s="77">
        <f>IF($G$4=" "," ",1)</f>
        <v>1</v>
      </c>
      <c r="B15" s="93">
        <f>IF(+C4=" "," ",$C$4)</f>
        <v>226888</v>
      </c>
      <c r="C15" s="93">
        <f>IF($G$8=" "," ",$E$4)</f>
        <v>0</v>
      </c>
      <c r="D15" s="94">
        <f>IF($C$8=" "," ",(+$B15+$C15)*($C$8/100))</f>
        <v>9075.52</v>
      </c>
      <c r="E15" s="94">
        <f>IF($E$8=" "," ",(+$B15+$C15)*($E$8/100))</f>
        <v>4537.76</v>
      </c>
      <c r="F15" s="94">
        <f>IF($G$8=" "," ",(+$B15+$C15)*($G$8/100))</f>
        <v>6806.6399999999994</v>
      </c>
      <c r="G15" s="95">
        <f>IF($C$11=" "," ",+$D15*($C$11/100))</f>
        <v>2994.9216000000001</v>
      </c>
      <c r="H15" s="95">
        <f>IF($E$15=" "," ",$E15*($E$11/100))</f>
        <v>907.55200000000013</v>
      </c>
      <c r="I15" s="95">
        <f>IF($G$4=" "," ",SUM(G15:H15))</f>
        <v>3902.4736000000003</v>
      </c>
      <c r="J15" s="95">
        <f>IF($G$11=" "," ",+FV($G$11/100,$G$4-A15,0,-I15))</f>
        <v>11807.322181069976</v>
      </c>
    </row>
    <row r="16" spans="1:256">
      <c r="A16" s="77">
        <f t="shared" ref="A16:A47" si="0">IF($A15="Totals"," ",IF(A15=" "," ",IF($A15=$G$4,"Totals",$A15+1)))</f>
        <v>2</v>
      </c>
      <c r="B16" s="93">
        <f t="shared" ref="B16:B47" si="1">IF($A16="Totals",SUM(B15:F15),IF($A16=" "," ",SUM(B15:F15)))</f>
        <v>247307.91999999998</v>
      </c>
      <c r="C16" s="93">
        <f>IF($A16="Totals",SUM(C$14:C15),IF($A16=" "," ",$E$4))</f>
        <v>0</v>
      </c>
      <c r="D16" s="94">
        <f>IF($A16="Totals",SUM(D$14:D15),IF($A16=" "," ",($B16+$C16)*($C$8/100)))</f>
        <v>9892.3167999999987</v>
      </c>
      <c r="E16" s="94">
        <f>IF($A16="Totals",SUM(E$14:E15),IF($A16=" "," ",($B16+$C16)*($E$8/100)))</f>
        <v>4946.1583999999993</v>
      </c>
      <c r="F16" s="94">
        <f>IF($A16="Totals",SUM(F$14:F15),IF($A16=" "," ",($B16+$C16)*($G$8/100)))</f>
        <v>7419.2375999999995</v>
      </c>
      <c r="G16" s="95">
        <f>IF($A16="Totals",SUM(G$14:G15),IF($A16=" "," ",D16*($C$11/100)))</f>
        <v>3264.4645439999999</v>
      </c>
      <c r="H16" s="95">
        <f>IF($A16="Totals",SUM(H$14:H15),IF($A16=" "," ",E16*($E$11/100)))</f>
        <v>989.23167999999987</v>
      </c>
      <c r="I16" s="95">
        <f>IF($A16="Totals",SUM(I$14:I15),IF($A16=" "," ",SUM(G16:H16)))</f>
        <v>4253.6962239999993</v>
      </c>
      <c r="J16" s="95">
        <f>IF($A16="Totals",SUM(J$14:J15),IF($A16=" "," ",FV($G$11/100,$G$4-A16,0,-I16)))</f>
        <v>12141.491676760632</v>
      </c>
    </row>
    <row r="17" spans="1:10">
      <c r="A17" s="77">
        <f t="shared" si="0"/>
        <v>3</v>
      </c>
      <c r="B17" s="93">
        <f t="shared" si="1"/>
        <v>269565.63279999996</v>
      </c>
      <c r="C17" s="93">
        <f>IF($A17="Totals",SUM(C$14:C16),IF($A17=" "," ",$E$4))</f>
        <v>0</v>
      </c>
      <c r="D17" s="94">
        <f>IF($A17="Totals",SUM(D$14:D16),IF($A17=" "," ",($B17+$C17)*($C$8/100)))</f>
        <v>10782.625311999998</v>
      </c>
      <c r="E17" s="94">
        <f>IF($A17="Totals",SUM(E$14:E16),IF($A17=" "," ",($B17+$C17)*($E$8/100)))</f>
        <v>5391.3126559999992</v>
      </c>
      <c r="F17" s="94">
        <f>IF($A17="Totals",SUM(F$14:F16),IF($A17=" "," ",($B17+$C17)*($G$8/100)))</f>
        <v>8086.9689839999983</v>
      </c>
      <c r="G17" s="95">
        <f>IF($A17="Totals",SUM(G$14:G16),IF($A17=" "," ",D17*($C$11/100)))</f>
        <v>3558.2663529599995</v>
      </c>
      <c r="H17" s="95">
        <f>IF($A17="Totals",SUM(H$14:H16),IF($A17=" "," ",E17*($E$11/100)))</f>
        <v>1078.2625311999998</v>
      </c>
      <c r="I17" s="95">
        <f>IF($A17="Totals",SUM(I$14:I16),IF($A17=" "," ",SUM(G17:H17)))</f>
        <v>4636.5288841599995</v>
      </c>
      <c r="J17" s="95">
        <f>IF($A17="Totals",SUM(J$14:J16),IF($A17=" "," ",FV($G$11/100,$G$4-A17,0,-I17)))</f>
        <v>12485.11879968782</v>
      </c>
    </row>
    <row r="18" spans="1:10">
      <c r="A18" s="77">
        <f t="shared" si="0"/>
        <v>4</v>
      </c>
      <c r="B18" s="93">
        <f t="shared" si="1"/>
        <v>293826.53975199995</v>
      </c>
      <c r="C18" s="93">
        <f>IF($A18="Totals",SUM(C$14:C17),IF($A18=" "," ",$E$4))</f>
        <v>0</v>
      </c>
      <c r="D18" s="94">
        <f>IF($A18="Totals",SUM(D$14:D17),IF($A18=" "," ",($B18+$C18)*($C$8/100)))</f>
        <v>11753.061590079998</v>
      </c>
      <c r="E18" s="94">
        <f>IF($A18="Totals",SUM(E$14:E17),IF($A18=" "," ",($B18+$C18)*($E$8/100)))</f>
        <v>5876.5307950399992</v>
      </c>
      <c r="F18" s="94">
        <f>IF($A18="Totals",SUM(F$14:F17),IF($A18=" "," ",($B18+$C18)*($G$8/100)))</f>
        <v>8814.7961925599975</v>
      </c>
      <c r="G18" s="95">
        <f>IF($A18="Totals",SUM(G$14:G17),IF($A18=" "," ",D18*($C$11/100)))</f>
        <v>3878.5103247263996</v>
      </c>
      <c r="H18" s="95">
        <f>IF($A18="Totals",SUM(H$14:H17),IF($A18=" "," ",E18*($E$11/100)))</f>
        <v>1175.3061590079999</v>
      </c>
      <c r="I18" s="95">
        <f>IF($A18="Totals",SUM(I$14:I17),IF($A18=" "," ",SUM(G18:H18)))</f>
        <v>5053.8164837343993</v>
      </c>
      <c r="J18" s="95">
        <f>IF($A18="Totals",SUM(J$14:J17),IF($A18=" "," ",FV($G$11/100,$G$4-A18,0,-I18)))</f>
        <v>12838.471218546907</v>
      </c>
    </row>
    <row r="19" spans="1:10">
      <c r="A19" s="77">
        <f t="shared" si="0"/>
        <v>5</v>
      </c>
      <c r="B19" s="93">
        <f t="shared" si="1"/>
        <v>320270.92832967994</v>
      </c>
      <c r="C19" s="93">
        <f>IF($A19="Totals",SUM(C$14:C18),IF($A19=" "," ",$E$4))</f>
        <v>0</v>
      </c>
      <c r="D19" s="94">
        <f>IF($A19="Totals",SUM(D$14:D18),IF($A19=" "," ",($B19+$C19)*($C$8/100)))</f>
        <v>12810.837133187199</v>
      </c>
      <c r="E19" s="94">
        <f>IF($A19="Totals",SUM(E$14:E18),IF($A19=" "," ",($B19+$C19)*($E$8/100)))</f>
        <v>6405.4185665935993</v>
      </c>
      <c r="F19" s="94">
        <f>IF($A19="Totals",SUM(F$14:F18),IF($A19=" "," ",($B19+$C19)*($G$8/100)))</f>
        <v>9608.1278498903976</v>
      </c>
      <c r="G19" s="95">
        <f>IF($A19="Totals",SUM(G$14:G18),IF($A19=" "," ",D19*($C$11/100)))</f>
        <v>4227.5762539517755</v>
      </c>
      <c r="H19" s="95">
        <f>IF($A19="Totals",SUM(H$14:H18),IF($A19=" "," ",E19*($E$11/100)))</f>
        <v>1281.0837133187199</v>
      </c>
      <c r="I19" s="95">
        <f>IF($A19="Totals",SUM(I$14:I18),IF($A19=" "," ",SUM(G19:H19)))</f>
        <v>5508.6599672704951</v>
      </c>
      <c r="J19" s="95">
        <f>IF($A19="Totals",SUM(J$14:J18),IF($A19=" "," ",FV($G$11/100,$G$4-A19,0,-I19)))</f>
        <v>13201.824177562388</v>
      </c>
    </row>
    <row r="20" spans="1:10">
      <c r="A20" s="77">
        <f t="shared" si="0"/>
        <v>6</v>
      </c>
      <c r="B20" s="93">
        <f t="shared" si="1"/>
        <v>349095.31187935115</v>
      </c>
      <c r="C20" s="93">
        <f>IF($A20="Totals",SUM(C$14:C19),IF($A20=" "," ",$E$4))</f>
        <v>0</v>
      </c>
      <c r="D20" s="94">
        <f>IF($A20="Totals",SUM(D$14:D19),IF($A20=" "," ",($B20+$C20)*($C$8/100)))</f>
        <v>13963.812475174047</v>
      </c>
      <c r="E20" s="94">
        <f>IF($A20="Totals",SUM(E$14:E19),IF($A20=" "," ",($B20+$C20)*($E$8/100)))</f>
        <v>6981.9062375870235</v>
      </c>
      <c r="F20" s="94">
        <f>IF($A20="Totals",SUM(F$14:F19),IF($A20=" "," ",($B20+$C20)*($G$8/100)))</f>
        <v>10472.859356380533</v>
      </c>
      <c r="G20" s="95">
        <f>IF($A20="Totals",SUM(G$14:G19),IF($A20=" "," ",D20*($C$11/100)))</f>
        <v>4608.0581168074359</v>
      </c>
      <c r="H20" s="95">
        <f>IF($A20="Totals",SUM(H$14:H19),IF($A20=" "," ",E20*($E$11/100)))</f>
        <v>1396.3812475174047</v>
      </c>
      <c r="I20" s="95">
        <f>IF($A20="Totals",SUM(I$14:I19),IF($A20=" "," ",SUM(G20:H20)))</f>
        <v>6004.4393643248404</v>
      </c>
      <c r="J20" s="95">
        <f>IF($A20="Totals",SUM(J$14:J19),IF($A20=" "," ",FV($G$11/100,$G$4-A20,0,-I20)))</f>
        <v>13575.460710889623</v>
      </c>
    </row>
    <row r="21" spans="1:10">
      <c r="A21" s="77">
        <f t="shared" si="0"/>
        <v>7</v>
      </c>
      <c r="B21" s="93">
        <f t="shared" si="1"/>
        <v>380513.88994849275</v>
      </c>
      <c r="C21" s="93">
        <f>IF($A21="Totals",SUM(C$14:C20),IF($A21=" "," ",$E$4))</f>
        <v>0</v>
      </c>
      <c r="D21" s="94">
        <f>IF($A21="Totals",SUM(D$14:D20),IF($A21=" "," ",($B21+$C21)*($C$8/100)))</f>
        <v>15220.55559793971</v>
      </c>
      <c r="E21" s="94">
        <f>IF($A21="Totals",SUM(E$14:E20),IF($A21=" "," ",($B21+$C21)*($E$8/100)))</f>
        <v>7610.2777989698552</v>
      </c>
      <c r="F21" s="94">
        <f>IF($A21="Totals",SUM(F$14:F20),IF($A21=" "," ",($B21+$C21)*($G$8/100)))</f>
        <v>11415.416698454783</v>
      </c>
      <c r="G21" s="95">
        <f>IF($A21="Totals",SUM(G$14:G20),IF($A21=" "," ",D21*($C$11/100)))</f>
        <v>5022.7833473201044</v>
      </c>
      <c r="H21" s="95">
        <f>IF($A21="Totals",SUM(H$14:H20),IF($A21=" "," ",E21*($E$11/100)))</f>
        <v>1522.055559793971</v>
      </c>
      <c r="I21" s="95">
        <f>IF($A21="Totals",SUM(I$14:I20),IF($A21=" "," ",SUM(G21:H21)))</f>
        <v>6544.8389071140755</v>
      </c>
      <c r="J21" s="95">
        <f>IF($A21="Totals",SUM(J$14:J20),IF($A21=" "," ",FV($G$11/100,$G$4-A21,0,-I21)))</f>
        <v>13959.671863084612</v>
      </c>
    </row>
    <row r="22" spans="1:10">
      <c r="A22" s="77">
        <f t="shared" si="0"/>
        <v>8</v>
      </c>
      <c r="B22" s="93">
        <f t="shared" si="1"/>
        <v>414760.1400438571</v>
      </c>
      <c r="C22" s="93">
        <f>IF($A22="Totals",SUM(C$14:C21),IF($A22=" "," ",$E$4))</f>
        <v>0</v>
      </c>
      <c r="D22" s="94">
        <f>IF($A22="Totals",SUM(D$14:D21),IF($A22=" "," ",($B22+$C22)*($C$8/100)))</f>
        <v>16590.405601754283</v>
      </c>
      <c r="E22" s="94">
        <f>IF($A22="Totals",SUM(E$14:E21),IF($A22=" "," ",($B22+$C22)*($E$8/100)))</f>
        <v>8295.2028008771413</v>
      </c>
      <c r="F22" s="94">
        <f>IF($A22="Totals",SUM(F$14:F21),IF($A22=" "," ",($B22+$C22)*($G$8/100)))</f>
        <v>12442.804201315712</v>
      </c>
      <c r="G22" s="95">
        <f>IF($A22="Totals",SUM(G$14:G21),IF($A22=" "," ",D22*($C$11/100)))</f>
        <v>5474.8338485789136</v>
      </c>
      <c r="H22" s="95">
        <f>IF($A22="Totals",SUM(H$14:H21),IF($A22=" "," ",E22*($E$11/100)))</f>
        <v>1659.0405601754283</v>
      </c>
      <c r="I22" s="95">
        <f>IF($A22="Totals",SUM(I$14:I21),IF($A22=" "," ",SUM(G22:H22)))</f>
        <v>7133.8744087543419</v>
      </c>
      <c r="J22" s="95">
        <f>IF($A22="Totals",SUM(J$14:J21),IF($A22=" "," ",FV($G$11/100,$G$4-A22,0,-I22)))</f>
        <v>14354.756915813419</v>
      </c>
    </row>
    <row r="23" spans="1:10">
      <c r="A23" s="77">
        <f t="shared" si="0"/>
        <v>9</v>
      </c>
      <c r="B23" s="93">
        <f t="shared" si="1"/>
        <v>452088.55264780426</v>
      </c>
      <c r="C23" s="93">
        <f>IF($A23="Totals",SUM(C$14:C22),IF($A23=" "," ",$E$4))</f>
        <v>0</v>
      </c>
      <c r="D23" s="94">
        <f>IF($A23="Totals",SUM(D$14:D22),IF($A23=" "," ",($B23+$C23)*($C$8/100)))</f>
        <v>18083.542105912169</v>
      </c>
      <c r="E23" s="94">
        <f>IF($A23="Totals",SUM(E$14:E22),IF($A23=" "," ",($B23+$C23)*($E$8/100)))</f>
        <v>9041.7710529560845</v>
      </c>
      <c r="F23" s="94">
        <f>IF($A23="Totals",SUM(F$14:F22),IF($A23=" "," ",($B23+$C23)*($G$8/100)))</f>
        <v>13562.656579434128</v>
      </c>
      <c r="G23" s="95">
        <f>IF($A23="Totals",SUM(G$14:G22),IF($A23=" "," ",D23*($C$11/100)))</f>
        <v>5967.5688949510159</v>
      </c>
      <c r="H23" s="95">
        <f>IF($A23="Totals",SUM(H$14:H22),IF($A23=" "," ",E23*($E$11/100)))</f>
        <v>1808.354210591217</v>
      </c>
      <c r="I23" s="95">
        <f>IF($A23="Totals",SUM(I$14:I22),IF($A23=" "," ",SUM(G23:H23)))</f>
        <v>7775.9231055422333</v>
      </c>
      <c r="J23" s="95">
        <f>IF($A23="Totals",SUM(J$14:J22),IF($A23=" "," ",FV($G$11/100,$G$4-A23,0,-I23)))</f>
        <v>14761.02362097795</v>
      </c>
    </row>
    <row r="24" spans="1:10">
      <c r="A24" s="77">
        <f t="shared" si="0"/>
        <v>10</v>
      </c>
      <c r="B24" s="93">
        <f t="shared" si="1"/>
        <v>492776.5223861066</v>
      </c>
      <c r="C24" s="93">
        <f>IF($A24="Totals",SUM(C$14:C23),IF($A24=" "," ",$E$4))</f>
        <v>0</v>
      </c>
      <c r="D24" s="94">
        <f>IF($A24="Totals",SUM(D$14:D23),IF($A24=" "," ",($B24+$C24)*($C$8/100)))</f>
        <v>19711.060895444265</v>
      </c>
      <c r="E24" s="94">
        <f>IF($A24="Totals",SUM(E$14:E23),IF($A24=" "," ",($B24+$C24)*($E$8/100)))</f>
        <v>9855.5304477221325</v>
      </c>
      <c r="F24" s="94">
        <f>IF($A24="Totals",SUM(F$14:F23),IF($A24=" "," ",($B24+$C24)*($G$8/100)))</f>
        <v>14783.295671583197</v>
      </c>
      <c r="G24" s="95">
        <f>IF($A24="Totals",SUM(G$14:G23),IF($A24=" "," ",D24*($C$11/100)))</f>
        <v>6504.6500954966077</v>
      </c>
      <c r="H24" s="95">
        <f>IF($A24="Totals",SUM(H$14:H23),IF($A24=" "," ",E24*($E$11/100)))</f>
        <v>1971.1060895444266</v>
      </c>
      <c r="I24" s="95">
        <f>IF($A24="Totals",SUM(I$14:I23),IF($A24=" "," ",SUM(G24:H24)))</f>
        <v>8475.7561850410348</v>
      </c>
      <c r="J24" s="95">
        <f>IF($A24="Totals",SUM(J$14:J23),IF($A24=" "," ",FV($G$11/100,$G$4-A24,0,-I24)))</f>
        <v>15178.78844043959</v>
      </c>
    </row>
    <row r="25" spans="1:10">
      <c r="A25" s="77">
        <f t="shared" si="0"/>
        <v>11</v>
      </c>
      <c r="B25" s="93">
        <f t="shared" si="1"/>
        <v>537126.40940085612</v>
      </c>
      <c r="C25" s="93">
        <f>IF($A25="Totals",SUM(C$14:C24),IF($A25=" "," ",$E$4))</f>
        <v>0</v>
      </c>
      <c r="D25" s="94">
        <f>IF($A25="Totals",SUM(D$14:D24),IF($A25=" "," ",($B25+$C25)*($C$8/100)))</f>
        <v>21485.056376034245</v>
      </c>
      <c r="E25" s="94">
        <f>IF($A25="Totals",SUM(E$14:E24),IF($A25=" "," ",($B25+$C25)*($E$8/100)))</f>
        <v>10742.528188017122</v>
      </c>
      <c r="F25" s="94">
        <f>IF($A25="Totals",SUM(F$14:F24),IF($A25=" "," ",($B25+$C25)*($G$8/100)))</f>
        <v>16113.792282025683</v>
      </c>
      <c r="G25" s="95">
        <f>IF($A25="Totals",SUM(G$14:G24),IF($A25=" "," ",D25*($C$11/100)))</f>
        <v>7090.0686040913015</v>
      </c>
      <c r="H25" s="95">
        <f>IF($A25="Totals",SUM(H$14:H24),IF($A25=" "," ",E25*($E$11/100)))</f>
        <v>2148.5056376034245</v>
      </c>
      <c r="I25" s="95">
        <f>IF($A25="Totals",SUM(I$14:I24),IF($A25=" "," ",SUM(G25:H25)))</f>
        <v>9238.5742416947251</v>
      </c>
      <c r="J25" s="95">
        <f>IF($A25="Totals",SUM(J$14:J24),IF($A25=" "," ",FV($G$11/100,$G$4-A25,0,-I25)))</f>
        <v>15608.376792527497</v>
      </c>
    </row>
    <row r="26" spans="1:10">
      <c r="A26" s="77">
        <f t="shared" si="0"/>
        <v>12</v>
      </c>
      <c r="B26" s="93">
        <f t="shared" si="1"/>
        <v>585467.78624693316</v>
      </c>
      <c r="C26" s="93">
        <f>IF($A26="Totals",SUM(C$14:C25),IF($A26=" "," ",$E$4))</f>
        <v>0</v>
      </c>
      <c r="D26" s="94">
        <f>IF($A26="Totals",SUM(D$14:D25),IF($A26=" "," ",($B26+$C26)*($C$8/100)))</f>
        <v>23418.711449877326</v>
      </c>
      <c r="E26" s="94">
        <f>IF($A26="Totals",SUM(E$14:E25),IF($A26=" "," ",($B26+$C26)*($E$8/100)))</f>
        <v>11709.355724938663</v>
      </c>
      <c r="F26" s="94">
        <f>IF($A26="Totals",SUM(F$14:F25),IF($A26=" "," ",($B26+$C26)*($G$8/100)))</f>
        <v>17564.033587407994</v>
      </c>
      <c r="G26" s="95">
        <f>IF($A26="Totals",SUM(G$14:G25),IF($A26=" "," ",D26*($C$11/100)))</f>
        <v>7728.1747784595182</v>
      </c>
      <c r="H26" s="95">
        <f>IF($A26="Totals",SUM(H$14:H25),IF($A26=" "," ",E26*($E$11/100)))</f>
        <v>2341.8711449877328</v>
      </c>
      <c r="I26" s="95">
        <f>IF($A26="Totals",SUM(I$14:I25),IF($A26=" "," ",SUM(G26:H26)))</f>
        <v>10070.045923447251</v>
      </c>
      <c r="J26" s="95">
        <f>IF($A26="Totals",SUM(J$14:J25),IF($A26=" "," ",FV($G$11/100,$G$4-A26,0,-I26)))</f>
        <v>16050.123305523559</v>
      </c>
    </row>
    <row r="27" spans="1:10">
      <c r="A27" s="77">
        <f t="shared" si="0"/>
        <v>13</v>
      </c>
      <c r="B27" s="93">
        <f t="shared" si="1"/>
        <v>638159.88700915722</v>
      </c>
      <c r="C27" s="93">
        <f>IF($A27="Totals",SUM(C$14:C26),IF($A27=" "," ",$E$4))</f>
        <v>0</v>
      </c>
      <c r="D27" s="94">
        <f>IF($A27="Totals",SUM(D$14:D26),IF($A27=" "," ",($B27+$C27)*($C$8/100)))</f>
        <v>25526.395480366289</v>
      </c>
      <c r="E27" s="94">
        <f>IF($A27="Totals",SUM(E$14:E26),IF($A27=" "," ",($B27+$C27)*($E$8/100)))</f>
        <v>12763.197740183145</v>
      </c>
      <c r="F27" s="94">
        <f>IF($A27="Totals",SUM(F$14:F26),IF($A27=" "," ",($B27+$C27)*($G$8/100)))</f>
        <v>19144.796610274716</v>
      </c>
      <c r="G27" s="95">
        <f>IF($A27="Totals",SUM(G$14:G26),IF($A27=" "," ",D27*($C$11/100)))</f>
        <v>8423.710508520875</v>
      </c>
      <c r="H27" s="95">
        <f>IF($A27="Totals",SUM(H$14:H26),IF($A27=" "," ",E27*($E$11/100)))</f>
        <v>2552.6395480366291</v>
      </c>
      <c r="I27" s="95">
        <f>IF($A27="Totals",SUM(I$14:I26),IF($A27=" "," ",SUM(G27:H27)))</f>
        <v>10976.350056557505</v>
      </c>
      <c r="J27" s="95">
        <f>IF($A27="Totals",SUM(J$14:J26),IF($A27=" "," ",FV($G$11/100,$G$4-A27,0,-I27)))</f>
        <v>16504.372078321398</v>
      </c>
    </row>
    <row r="28" spans="1:10">
      <c r="A28" s="77">
        <f t="shared" si="0"/>
        <v>14</v>
      </c>
      <c r="B28" s="93">
        <f t="shared" si="1"/>
        <v>695594.27683998132</v>
      </c>
      <c r="C28" s="93">
        <f>IF($A28="Totals",SUM(C$14:C27),IF($A28=" "," ",$E$4))</f>
        <v>0</v>
      </c>
      <c r="D28" s="94">
        <f>IF($A28="Totals",SUM(D$14:D27),IF($A28=" "," ",($B28+$C28)*($C$8/100)))</f>
        <v>27823.771073599255</v>
      </c>
      <c r="E28" s="94">
        <f>IF($A28="Totals",SUM(E$14:E27),IF($A28=" "," ",($B28+$C28)*($E$8/100)))</f>
        <v>13911.885536799628</v>
      </c>
      <c r="F28" s="94">
        <f>IF($A28="Totals",SUM(F$14:F27),IF($A28=" "," ",($B28+$C28)*($G$8/100)))</f>
        <v>20867.82830519944</v>
      </c>
      <c r="G28" s="95">
        <f>IF($A28="Totals",SUM(G$14:G27),IF($A28=" "," ",D28*($C$11/100)))</f>
        <v>9181.8444542877551</v>
      </c>
      <c r="H28" s="95">
        <f>IF($A28="Totals",SUM(H$14:H27),IF($A28=" "," ",E28*($E$11/100)))</f>
        <v>2782.3771073599255</v>
      </c>
      <c r="I28" s="95">
        <f>IF($A28="Totals",SUM(I$14:I27),IF($A28=" "," ",SUM(G28:H28)))</f>
        <v>11964.221561647681</v>
      </c>
      <c r="J28" s="95">
        <f>IF($A28="Totals",SUM(J$14:J27),IF($A28=" "," ",FV($G$11/100,$G$4-A28,0,-I28)))</f>
        <v>16971.476948462569</v>
      </c>
    </row>
    <row r="29" spans="1:10">
      <c r="A29" s="77">
        <f t="shared" si="0"/>
        <v>15</v>
      </c>
      <c r="B29" s="93">
        <f t="shared" si="1"/>
        <v>758197.76175557962</v>
      </c>
      <c r="C29" s="93">
        <f>IF($A29="Totals",SUM(C$14:C28),IF($A29=" "," ",$E$4))</f>
        <v>0</v>
      </c>
      <c r="D29" s="94">
        <f>IF($A29="Totals",SUM(D$14:D28),IF($A29=" "," ",($B29+$C29)*($C$8/100)))</f>
        <v>30327.910470223185</v>
      </c>
      <c r="E29" s="94">
        <f>IF($A29="Totals",SUM(E$14:E28),IF($A29=" "," ",($B29+$C29)*($E$8/100)))</f>
        <v>15163.955235111593</v>
      </c>
      <c r="F29" s="94">
        <f>IF($A29="Totals",SUM(F$14:F28),IF($A29=" "," ",($B29+$C29)*($G$8/100)))</f>
        <v>22745.932852667389</v>
      </c>
      <c r="G29" s="95">
        <f>IF($A29="Totals",SUM(G$14:G28),IF($A29=" "," ",D29*($C$11/100)))</f>
        <v>10008.210455173652</v>
      </c>
      <c r="H29" s="95">
        <f>IF($A29="Totals",SUM(H$14:H28),IF($A29=" "," ",E29*($E$11/100)))</f>
        <v>3032.7910470223187</v>
      </c>
      <c r="I29" s="95">
        <f>IF($A29="Totals",SUM(I$14:I28),IF($A29=" "," ",SUM(G29:H29)))</f>
        <v>13041.00150219597</v>
      </c>
      <c r="J29" s="95">
        <f>IF($A29="Totals",SUM(J$14:J28),IF($A29=" "," ",FV($G$11/100,$G$4-A29,0,-I29)))</f>
        <v>17451.801767758676</v>
      </c>
    </row>
    <row r="30" spans="1:10">
      <c r="A30" s="77">
        <f t="shared" si="0"/>
        <v>16</v>
      </c>
      <c r="B30" s="93">
        <f t="shared" si="1"/>
        <v>826435.56031358184</v>
      </c>
      <c r="C30" s="93">
        <f>IF($A30="Totals",SUM(C$14:C29),IF($A30=" "," ",$E$4))</f>
        <v>0</v>
      </c>
      <c r="D30" s="94">
        <f>IF($A30="Totals",SUM(D$14:D29),IF($A30=" "," ",($B30+$C30)*($C$8/100)))</f>
        <v>33057.422412543274</v>
      </c>
      <c r="E30" s="94">
        <f>IF($A30="Totals",SUM(E$14:E29),IF($A30=" "," ",($B30+$C30)*($E$8/100)))</f>
        <v>16528.711206271637</v>
      </c>
      <c r="F30" s="94">
        <f>IF($A30="Totals",SUM(F$14:F29),IF($A30=" "," ",($B30+$C30)*($G$8/100)))</f>
        <v>24793.066809407454</v>
      </c>
      <c r="G30" s="95">
        <f>IF($A30="Totals",SUM(G$14:G29),IF($A30=" "," ",D30*($C$11/100)))</f>
        <v>10908.94939613928</v>
      </c>
      <c r="H30" s="95">
        <f>IF($A30="Totals",SUM(H$14:H29),IF($A30=" "," ",E30*($E$11/100)))</f>
        <v>3305.7422412543274</v>
      </c>
      <c r="I30" s="95">
        <f>IF($A30="Totals",SUM(I$14:I29),IF($A30=" "," ",SUM(G30:H30)))</f>
        <v>14214.691637393607</v>
      </c>
      <c r="J30" s="95">
        <f>IF($A30="Totals",SUM(J$14:J29),IF($A30=" "," ",FV($G$11/100,$G$4-A30,0,-I30)))</f>
        <v>17945.72068571411</v>
      </c>
    </row>
    <row r="31" spans="1:10">
      <c r="A31" s="77">
        <f t="shared" si="0"/>
        <v>17</v>
      </c>
      <c r="B31" s="93">
        <f t="shared" si="1"/>
        <v>900814.76074180426</v>
      </c>
      <c r="C31" s="93">
        <f>IF($A31="Totals",SUM(C$14:C30),IF($A31=" "," ",$E$4))</f>
        <v>0</v>
      </c>
      <c r="D31" s="94">
        <f>IF($A31="Totals",SUM(D$14:D30),IF($A31=" "," ",($B31+$C31)*($C$8/100)))</f>
        <v>36032.590429672171</v>
      </c>
      <c r="E31" s="94">
        <f>IF($A31="Totals",SUM(E$14:E30),IF($A31=" "," ",($B31+$C31)*($E$8/100)))</f>
        <v>18016.295214836086</v>
      </c>
      <c r="F31" s="94">
        <f>IF($A31="Totals",SUM(F$14:F30),IF($A31=" "," ",($B31+$C31)*($G$8/100)))</f>
        <v>27024.442822254128</v>
      </c>
      <c r="G31" s="95">
        <f>IF($A31="Totals",SUM(G$14:G30),IF($A31=" "," ",D31*($C$11/100)))</f>
        <v>11890.754841791817</v>
      </c>
      <c r="H31" s="95">
        <f>IF($A31="Totals",SUM(H$14:H30),IF($A31=" "," ",E31*($E$11/100)))</f>
        <v>3603.2590429672173</v>
      </c>
      <c r="I31" s="95">
        <f>IF($A31="Totals",SUM(I$14:I30),IF($A31=" "," ",SUM(G31:H31)))</f>
        <v>15494.013884759035</v>
      </c>
      <c r="J31" s="95">
        <f>IF($A31="Totals",SUM(J$14:J30),IF($A31=" "," ",FV($G$11/100,$G$4-A31,0,-I31)))</f>
        <v>18453.618440970171</v>
      </c>
    </row>
    <row r="32" spans="1:10">
      <c r="A32" s="77">
        <f t="shared" si="0"/>
        <v>18</v>
      </c>
      <c r="B32" s="93">
        <f t="shared" si="1"/>
        <v>981888.0892085667</v>
      </c>
      <c r="C32" s="93">
        <f>IF($A32="Totals",SUM(C$14:C31),IF($A32=" "," ",$E$4))</f>
        <v>0</v>
      </c>
      <c r="D32" s="94">
        <f>IF($A32="Totals",SUM(D$14:D31),IF($A32=" "," ",($B32+$C32)*($C$8/100)))</f>
        <v>39275.523568342665</v>
      </c>
      <c r="E32" s="94">
        <f>IF($A32="Totals",SUM(E$14:E31),IF($A32=" "," ",($B32+$C32)*($E$8/100)))</f>
        <v>19637.761784171333</v>
      </c>
      <c r="F32" s="94">
        <f>IF($A32="Totals",SUM(F$14:F31),IF($A32=" "," ",($B32+$C32)*($G$8/100)))</f>
        <v>29456.642676257001</v>
      </c>
      <c r="G32" s="95">
        <f>IF($A32="Totals",SUM(G$14:G31),IF($A32=" "," ",D32*($C$11/100)))</f>
        <v>12960.92277755308</v>
      </c>
      <c r="H32" s="95">
        <f>IF($A32="Totals",SUM(H$14:H31),IF($A32=" "," ",E32*($E$11/100)))</f>
        <v>3927.5523568342669</v>
      </c>
      <c r="I32" s="95">
        <f>IF($A32="Totals",SUM(I$14:I31),IF($A32=" "," ",SUM(G32:H32)))</f>
        <v>16888.475134387347</v>
      </c>
      <c r="J32" s="95">
        <f>IF($A32="Totals",SUM(J$14:J31),IF($A32=" "," ",FV($G$11/100,$G$4-A32,0,-I32)))</f>
        <v>18975.890660997626</v>
      </c>
    </row>
    <row r="33" spans="1:10">
      <c r="A33" s="77">
        <f t="shared" si="0"/>
        <v>19</v>
      </c>
      <c r="B33" s="93">
        <f t="shared" si="1"/>
        <v>1070258.0172373378</v>
      </c>
      <c r="C33" s="93">
        <f>IF($A33="Totals",SUM(C$14:C32),IF($A33=" "," ",$E$4))</f>
        <v>0</v>
      </c>
      <c r="D33" s="94">
        <f>IF($A33="Totals",SUM(D$14:D32),IF($A33=" "," ",($B33+$C33)*($C$8/100)))</f>
        <v>42810.320689493514</v>
      </c>
      <c r="E33" s="94">
        <f>IF($A33="Totals",SUM(E$14:E32),IF($A33=" "," ",($B33+$C33)*($E$8/100)))</f>
        <v>21405.160344746757</v>
      </c>
      <c r="F33" s="94">
        <f>IF($A33="Totals",SUM(F$14:F32),IF($A33=" "," ",($B33+$C33)*($G$8/100)))</f>
        <v>32107.740517120132</v>
      </c>
      <c r="G33" s="95">
        <f>IF($A33="Totals",SUM(G$14:G32),IF($A33=" "," ",D33*($C$11/100)))</f>
        <v>14127.405827532861</v>
      </c>
      <c r="H33" s="95">
        <f>IF($A33="Totals",SUM(H$14:H32),IF($A33=" "," ",E33*($E$11/100)))</f>
        <v>4281.0320689493519</v>
      </c>
      <c r="I33" s="95">
        <f>IF($A33="Totals",SUM(I$14:I32),IF($A33=" "," ",SUM(G33:H33)))</f>
        <v>18408.437896482214</v>
      </c>
      <c r="J33" s="95">
        <f>IF($A33="Totals",SUM(J$14:J32),IF($A33=" "," ",FV($G$11/100,$G$4-A33,0,-I33)))</f>
        <v>19512.944170271148</v>
      </c>
    </row>
    <row r="34" spans="1:10">
      <c r="A34" s="77">
        <f t="shared" si="0"/>
        <v>20</v>
      </c>
      <c r="B34" s="93">
        <f t="shared" si="1"/>
        <v>1166581.2387886981</v>
      </c>
      <c r="C34" s="93">
        <f>IF($A34="Totals",SUM(C$14:C33),IF($A34=" "," ",$E$4))</f>
        <v>0</v>
      </c>
      <c r="D34" s="94">
        <f>IF($A34="Totals",SUM(D$14:D33),IF($A34=" "," ",($B34+$C34)*($C$8/100)))</f>
        <v>46663.249551547924</v>
      </c>
      <c r="E34" s="94">
        <f>IF($A34="Totals",SUM(E$14:E33),IF($A34=" "," ",($B34+$C34)*($E$8/100)))</f>
        <v>23331.624775773962</v>
      </c>
      <c r="F34" s="94">
        <f>IF($A34="Totals",SUM(F$14:F33),IF($A34=" "," ",($B34+$C34)*($G$8/100)))</f>
        <v>34997.437163660943</v>
      </c>
      <c r="G34" s="95">
        <f>IF($A34="Totals",SUM(G$14:G33),IF($A34=" "," ",D34*($C$11/100)))</f>
        <v>15398.872352010816</v>
      </c>
      <c r="H34" s="95">
        <f>IF($A34="Totals",SUM(H$14:H33),IF($A34=" "," ",E34*($E$11/100)))</f>
        <v>4666.3249551547924</v>
      </c>
      <c r="I34" s="95">
        <f>IF($A34="Totals",SUM(I$14:I33),IF($A34=" "," ",SUM(G34:H34)))</f>
        <v>20065.19730716561</v>
      </c>
      <c r="J34" s="95">
        <f>IF($A34="Totals",SUM(J$14:J33),IF($A34=" "," ",FV($G$11/100,$G$4-A34,0,-I34)))</f>
        <v>20065.19730716561</v>
      </c>
    </row>
    <row r="35" spans="1:10">
      <c r="A35" s="77" t="str">
        <f t="shared" si="0"/>
        <v>Totals</v>
      </c>
      <c r="B35" s="93">
        <f t="shared" si="1"/>
        <v>1271573.5502796809</v>
      </c>
      <c r="C35" s="93">
        <f>IF($A35="Totals",SUM(C$14:C34),IF($A35=" "," ",$E$4))</f>
        <v>0</v>
      </c>
      <c r="D35" s="94">
        <f>IF($A35="Totals",SUM(D$14:D34),IF($A35=" "," ",($B35+$C35)*($C$8/100)))</f>
        <v>464304.6890131915</v>
      </c>
      <c r="E35" s="94">
        <f>IF($A35="Totals",SUM(E$14:E34),IF($A35=" "," ",($B35+$C35)*($E$8/100)))</f>
        <v>232152.34450659575</v>
      </c>
      <c r="F35" s="94">
        <f>IF($A35="Totals",SUM(F$14:F34),IF($A35=" "," ",($B35+$C35)*($G$8/100)))</f>
        <v>348228.51675989357</v>
      </c>
      <c r="G35" s="95">
        <f>IF($A35="Totals",SUM(G$14:G34),IF($A35=" "," ",D35*($C$11/100)))</f>
        <v>153220.54737435319</v>
      </c>
      <c r="H35" s="95">
        <f>IF($A35="Totals",SUM(H$14:H34),IF($A35=" "," ",E35*($E$11/100)))</f>
        <v>46430.46890131916</v>
      </c>
      <c r="I35" s="95">
        <f>IF($A35="Totals",SUM(I$14:I34),IF($A35=" "," ",SUM(G35:H35)))</f>
        <v>199651.01627567236</v>
      </c>
      <c r="J35" s="95">
        <f>IF($A35="Totals",SUM(J$14:J34),IF($A35=" "," ",FV($G$11/100,$G$4-A35,0,-I35)))</f>
        <v>311843.45176254527</v>
      </c>
    </row>
    <row r="36" spans="1:10">
      <c r="A36" s="77" t="str">
        <f t="shared" si="0"/>
        <v xml:space="preserve"> </v>
      </c>
      <c r="B36" s="93" t="str">
        <f t="shared" si="1"/>
        <v xml:space="preserve"> </v>
      </c>
      <c r="C36" s="93" t="str">
        <f>IF($A36="Totals",SUM(C$14:C35),IF($A36=" "," ",$E$4))</f>
        <v xml:space="preserve"> </v>
      </c>
      <c r="D36" s="94" t="str">
        <f>IF($A36="Totals",SUM(D$14:D35),IF($A36=" "," ",($B36+$C36)*($C$8/100)))</f>
        <v xml:space="preserve"> </v>
      </c>
      <c r="E36" s="94" t="str">
        <f>IF($A36="Totals",SUM(E$14:E35),IF($A36=" "," ",($B36+$C36)*($E$8/100)))</f>
        <v xml:space="preserve"> </v>
      </c>
      <c r="F36" s="94" t="str">
        <f>IF($A36="Totals",SUM(F$14:F35),IF($A36=" "," ",($B36+$C36)*($G$8/100)))</f>
        <v xml:space="preserve"> </v>
      </c>
      <c r="G36" s="95" t="str">
        <f>IF($A36="Totals",SUM(G$14:G35),IF($A36=" "," ",D36*($C$11/100)))</f>
        <v xml:space="preserve"> </v>
      </c>
      <c r="H36" s="95" t="str">
        <f>IF($A36="Totals",SUM(H$14:H35),IF($A36=" "," ",E36*($E$11/100)))</f>
        <v xml:space="preserve"> </v>
      </c>
      <c r="I36" s="95" t="str">
        <f>IF($A36="Totals",SUM(I$14:I35),IF($A36=" "," ",SUM(G36:H36)))</f>
        <v xml:space="preserve"> </v>
      </c>
      <c r="J36" s="95" t="str">
        <f>IF($A36="Totals",SUM(J$14:J35),IF($A36=" "," ",FV($G$11/100,$G$4-A36,0,-I36)))</f>
        <v xml:space="preserve"> </v>
      </c>
    </row>
    <row r="37" spans="1:10">
      <c r="A37" s="77" t="str">
        <f t="shared" si="0"/>
        <v xml:space="preserve"> </v>
      </c>
      <c r="B37" s="93" t="str">
        <f t="shared" si="1"/>
        <v xml:space="preserve"> </v>
      </c>
      <c r="C37" s="93" t="str">
        <f>IF($A37="Totals",SUM(C$14:C36),IF($A37=" "," ",$E$4))</f>
        <v xml:space="preserve"> </v>
      </c>
      <c r="D37" s="94" t="str">
        <f>IF($A37="Totals",SUM(D$14:D36),IF($A37=" "," ",($B37+$C37)*($C$8/100)))</f>
        <v xml:space="preserve"> </v>
      </c>
      <c r="E37" s="94" t="str">
        <f>IF($A37="Totals",SUM(E$14:E36),IF($A37=" "," ",($B37+$C37)*($E$8/100)))</f>
        <v xml:space="preserve"> </v>
      </c>
      <c r="F37" s="94" t="str">
        <f>IF($A37="Totals",SUM(F$14:F36),IF($A37=" "," ",($B37+$C37)*($G$8/100)))</f>
        <v xml:space="preserve"> </v>
      </c>
      <c r="G37" s="95" t="str">
        <f>IF($A37="Totals",SUM(G$14:G36),IF($A37=" "," ",D37*($C$11/100)))</f>
        <v xml:space="preserve"> </v>
      </c>
      <c r="H37" s="95" t="str">
        <f>IF($A37="Totals",SUM(H$14:H36),IF($A37=" "," ",E37*($E$11/100)))</f>
        <v xml:space="preserve"> </v>
      </c>
      <c r="I37" s="95" t="str">
        <f>IF($A37="Totals",SUM(I$14:I36),IF($A37=" "," ",SUM(G37:H37)))</f>
        <v xml:space="preserve"> </v>
      </c>
      <c r="J37" s="95" t="str">
        <f>IF($A37="Totals",SUM(J$14:J36),IF($A37=" "," ",FV($G$11/100,$G$4-A37,0,-I37)))</f>
        <v xml:space="preserve"> </v>
      </c>
    </row>
    <row r="38" spans="1:10">
      <c r="A38" s="77" t="str">
        <f t="shared" si="0"/>
        <v xml:space="preserve"> </v>
      </c>
      <c r="B38" s="93" t="str">
        <f t="shared" si="1"/>
        <v xml:space="preserve"> </v>
      </c>
      <c r="C38" s="93" t="str">
        <f>IF($A38="Totals",SUM(C$14:C37),IF($A38=" "," ",$E$4))</f>
        <v xml:space="preserve"> </v>
      </c>
      <c r="D38" s="94" t="str">
        <f>IF($A38="Totals",SUM(D$14:D37),IF($A38=" "," ",($B38+$C38)*($C$8/100)))</f>
        <v xml:space="preserve"> </v>
      </c>
      <c r="E38" s="94" t="str">
        <f>IF($A38="Totals",SUM(E$14:E37),IF($A38=" "," ",($B38+$C38)*($E$8/100)))</f>
        <v xml:space="preserve"> </v>
      </c>
      <c r="F38" s="94" t="str">
        <f>IF($A38="Totals",SUM(F$14:F37),IF($A38=" "," ",($B38+$C38)*($G$8/100)))</f>
        <v xml:space="preserve"> </v>
      </c>
      <c r="G38" s="95" t="str">
        <f>IF($A38="Totals",SUM(G$14:G37),IF($A38=" "," ",D38*($C$11/100)))</f>
        <v xml:space="preserve"> </v>
      </c>
      <c r="H38" s="95" t="str">
        <f>IF($A38="Totals",SUM(H$14:H37),IF($A38=" "," ",E38*($E$11/100)))</f>
        <v xml:space="preserve"> </v>
      </c>
      <c r="I38" s="95" t="str">
        <f>IF($A38="Totals",SUM(I$14:I37),IF($A38=" "," ",SUM(G38:H38)))</f>
        <v xml:space="preserve"> </v>
      </c>
      <c r="J38" s="95" t="str">
        <f>IF($A38="Totals",SUM(J$14:J37),IF($A38=" "," ",FV($G$11/100,$G$4-A38,0,-I38)))</f>
        <v xml:space="preserve"> </v>
      </c>
    </row>
    <row r="39" spans="1:10">
      <c r="A39" s="77" t="str">
        <f t="shared" si="0"/>
        <v xml:space="preserve"> </v>
      </c>
      <c r="B39" s="93" t="str">
        <f t="shared" si="1"/>
        <v xml:space="preserve"> </v>
      </c>
      <c r="C39" s="93" t="str">
        <f>IF($A39="Totals",SUM(C$14:C38),IF($A39=" "," ",$E$4))</f>
        <v xml:space="preserve"> </v>
      </c>
      <c r="D39" s="94" t="str">
        <f>IF($A39="Totals",SUM(D$14:D38),IF($A39=" "," ",($B39+$C39)*($C$8/100)))</f>
        <v xml:space="preserve"> </v>
      </c>
      <c r="E39" s="94" t="str">
        <f>IF($A39="Totals",SUM(E$14:E38),IF($A39=" "," ",($B39+$C39)*($E$8/100)))</f>
        <v xml:space="preserve"> </v>
      </c>
      <c r="F39" s="94" t="str">
        <f>IF($A39="Totals",SUM(F$14:F38),IF($A39=" "," ",($B39+$C39)*($G$8/100)))</f>
        <v xml:space="preserve"> </v>
      </c>
      <c r="G39" s="95" t="str">
        <f>IF($A39="Totals",SUM(G$14:G38),IF($A39=" "," ",D39*($C$11/100)))</f>
        <v xml:space="preserve"> </v>
      </c>
      <c r="H39" s="95" t="str">
        <f>IF($A39="Totals",SUM(H$14:H38),IF($A39=" "," ",E39*($E$11/100)))</f>
        <v xml:space="preserve"> </v>
      </c>
      <c r="I39" s="95" t="str">
        <f>IF($A39="Totals",SUM(I$14:I38),IF($A39=" "," ",SUM(G39:H39)))</f>
        <v xml:space="preserve"> </v>
      </c>
      <c r="J39" s="95" t="str">
        <f>IF($A39="Totals",SUM(J$14:J38),IF($A39=" "," ",FV($G$11/100,$G$4-A39,0,-I39)))</f>
        <v xml:space="preserve"> </v>
      </c>
    </row>
    <row r="40" spans="1:10">
      <c r="A40" s="77" t="str">
        <f t="shared" si="0"/>
        <v xml:space="preserve"> </v>
      </c>
      <c r="B40" s="93" t="str">
        <f t="shared" si="1"/>
        <v xml:space="preserve"> </v>
      </c>
      <c r="C40" s="93" t="str">
        <f>IF($A40="Totals",SUM(C$14:C39),IF($A40=" "," ",$E$4))</f>
        <v xml:space="preserve"> </v>
      </c>
      <c r="D40" s="94" t="str">
        <f>IF($A40="Totals",SUM(D$14:D39),IF($A40=" "," ",($B40+$C40)*($C$8/100)))</f>
        <v xml:space="preserve"> </v>
      </c>
      <c r="E40" s="94" t="str">
        <f>IF($A40="Totals",SUM(E$14:E39),IF($A40=" "," ",($B40+$C40)*($E$8/100)))</f>
        <v xml:space="preserve"> </v>
      </c>
      <c r="F40" s="94" t="str">
        <f>IF($A40="Totals",SUM(F$14:F39),IF($A40=" "," ",($B40+$C40)*($G$8/100)))</f>
        <v xml:space="preserve"> </v>
      </c>
      <c r="G40" s="95" t="str">
        <f>IF($A40="Totals",SUM(G$14:G39),IF($A40=" "," ",D40*($C$11/100)))</f>
        <v xml:space="preserve"> </v>
      </c>
      <c r="H40" s="95" t="str">
        <f>IF($A40="Totals",SUM(H$14:H39),IF($A40=" "," ",E40*($E$11/100)))</f>
        <v xml:space="preserve"> </v>
      </c>
      <c r="I40" s="95" t="str">
        <f>IF($A40="Totals",SUM(I$14:I39),IF($A40=" "," ",SUM(G40:H40)))</f>
        <v xml:space="preserve"> </v>
      </c>
      <c r="J40" s="95" t="str">
        <f>IF($A40="Totals",SUM(J$14:J39),IF($A40=" "," ",FV($G$11/100,$G$4-A40,0,-I40)))</f>
        <v xml:space="preserve"> </v>
      </c>
    </row>
    <row r="41" spans="1:10">
      <c r="A41" s="77" t="str">
        <f t="shared" si="0"/>
        <v xml:space="preserve"> </v>
      </c>
      <c r="B41" s="93" t="str">
        <f t="shared" si="1"/>
        <v xml:space="preserve"> </v>
      </c>
      <c r="C41" s="93" t="str">
        <f>IF($A41="Totals",SUM(C$14:C40),IF($A41=" "," ",$E$4))</f>
        <v xml:space="preserve"> </v>
      </c>
      <c r="D41" s="94" t="str">
        <f>IF($A41="Totals",SUM(D$14:D40),IF($A41=" "," ",($B41+$C41)*($C$8/100)))</f>
        <v xml:space="preserve"> </v>
      </c>
      <c r="E41" s="94" t="str">
        <f>IF($A41="Totals",SUM(E$14:E40),IF($A41=" "," ",($B41+$C41)*($E$8/100)))</f>
        <v xml:space="preserve"> </v>
      </c>
      <c r="F41" s="94" t="str">
        <f>IF($A41="Totals",SUM(F$14:F40),IF($A41=" "," ",($B41+$C41)*($G$8/100)))</f>
        <v xml:space="preserve"> </v>
      </c>
      <c r="G41" s="95" t="str">
        <f>IF($A41="Totals",SUM(G$14:G40),IF($A41=" "," ",D41*($C$11/100)))</f>
        <v xml:space="preserve"> </v>
      </c>
      <c r="H41" s="95" t="str">
        <f>IF($A41="Totals",SUM(H$14:H40),IF($A41=" "," ",E41*($E$11/100)))</f>
        <v xml:space="preserve"> </v>
      </c>
      <c r="I41" s="95" t="str">
        <f>IF($A41="Totals",SUM(I$14:I40),IF($A41=" "," ",SUM(G41:H41)))</f>
        <v xml:space="preserve"> </v>
      </c>
      <c r="J41" s="95" t="str">
        <f>IF($A41="Totals",SUM(J$14:J40),IF($A41=" "," ",FV($G$11/100,$G$4-A41,0,-I41)))</f>
        <v xml:space="preserve"> </v>
      </c>
    </row>
    <row r="42" spans="1:10">
      <c r="A42" s="77" t="str">
        <f t="shared" si="0"/>
        <v xml:space="preserve"> </v>
      </c>
      <c r="B42" s="93" t="str">
        <f t="shared" si="1"/>
        <v xml:space="preserve"> </v>
      </c>
      <c r="C42" s="93" t="str">
        <f>IF($A42="Totals",SUM(C$14:C41),IF($A42=" "," ",$E$4))</f>
        <v xml:space="preserve"> </v>
      </c>
      <c r="D42" s="94" t="str">
        <f>IF($A42="Totals",SUM(D$14:D41),IF($A42=" "," ",($B42+$C42)*($C$8/100)))</f>
        <v xml:space="preserve"> </v>
      </c>
      <c r="E42" s="94" t="str">
        <f>IF($A42="Totals",SUM(E$14:E41),IF($A42=" "," ",($B42+$C42)*($E$8/100)))</f>
        <v xml:space="preserve"> </v>
      </c>
      <c r="F42" s="94" t="str">
        <f>IF($A42="Totals",SUM(F$14:F41),IF($A42=" "," ",($B42+$C42)*($G$8/100)))</f>
        <v xml:space="preserve"> </v>
      </c>
      <c r="G42" s="95" t="str">
        <f>IF($A42="Totals",SUM(G$14:G41),IF($A42=" "," ",D42*($C$11/100)))</f>
        <v xml:space="preserve"> </v>
      </c>
      <c r="H42" s="95" t="str">
        <f>IF($A42="Totals",SUM(H$14:H41),IF($A42=" "," ",E42*($E$11/100)))</f>
        <v xml:space="preserve"> </v>
      </c>
      <c r="I42" s="95" t="str">
        <f>IF($A42="Totals",SUM(I$14:I41),IF($A42=" "," ",SUM(G42:H42)))</f>
        <v xml:space="preserve"> </v>
      </c>
      <c r="J42" s="95" t="str">
        <f>IF($A42="Totals",SUM(J$14:J41),IF($A42=" "," ",FV($G$11/100,$G$4-A42,0,-I42)))</f>
        <v xml:space="preserve"> </v>
      </c>
    </row>
    <row r="43" spans="1:10">
      <c r="A43" s="77" t="str">
        <f t="shared" si="0"/>
        <v xml:space="preserve"> </v>
      </c>
      <c r="B43" s="93" t="str">
        <f t="shared" si="1"/>
        <v xml:space="preserve"> </v>
      </c>
      <c r="C43" s="93" t="str">
        <f>IF($A43="Totals",SUM(C$14:C42),IF($A43=" "," ",$E$4))</f>
        <v xml:space="preserve"> </v>
      </c>
      <c r="D43" s="94" t="str">
        <f>IF($A43="Totals",SUM(D$14:D42),IF($A43=" "," ",($B43+$C43)*($C$8/100)))</f>
        <v xml:space="preserve"> </v>
      </c>
      <c r="E43" s="94" t="str">
        <f>IF($A43="Totals",SUM(E$14:E42),IF($A43=" "," ",($B43+$C43)*($E$8/100)))</f>
        <v xml:space="preserve"> </v>
      </c>
      <c r="F43" s="94" t="str">
        <f>IF($A43="Totals",SUM(F$14:F42),IF($A43=" "," ",($B43+$C43)*($G$8/100)))</f>
        <v xml:space="preserve"> </v>
      </c>
      <c r="G43" s="95" t="str">
        <f>IF($A43="Totals",SUM(G$14:G42),IF($A43=" "," ",D43*($C$11/100)))</f>
        <v xml:space="preserve"> </v>
      </c>
      <c r="H43" s="95" t="str">
        <f>IF($A43="Totals",SUM(H$14:H42),IF($A43=" "," ",E43*($E$11/100)))</f>
        <v xml:space="preserve"> </v>
      </c>
      <c r="I43" s="95" t="str">
        <f>IF($A43="Totals",SUM(I$14:I42),IF($A43=" "," ",SUM(G43:H43)))</f>
        <v xml:space="preserve"> </v>
      </c>
      <c r="J43" s="95" t="str">
        <f>IF($A43="Totals",SUM(J$14:J42),IF($A43=" "," ",FV($G$11/100,$G$4-A43,0,-I43)))</f>
        <v xml:space="preserve"> </v>
      </c>
    </row>
    <row r="44" spans="1:10">
      <c r="A44" s="77" t="str">
        <f t="shared" si="0"/>
        <v xml:space="preserve"> </v>
      </c>
      <c r="B44" s="93" t="str">
        <f t="shared" si="1"/>
        <v xml:space="preserve"> </v>
      </c>
      <c r="C44" s="93" t="str">
        <f>IF($A44="Totals",SUM(C$14:C43),IF($A44=" "," ",$E$4))</f>
        <v xml:space="preserve"> </v>
      </c>
      <c r="D44" s="94" t="str">
        <f>IF($A44="Totals",SUM(D$14:D43),IF($A44=" "," ",($B44+$C44)*($C$8/100)))</f>
        <v xml:space="preserve"> </v>
      </c>
      <c r="E44" s="94" t="str">
        <f>IF($A44="Totals",SUM(E$14:E43),IF($A44=" "," ",($B44+$C44)*($E$8/100)))</f>
        <v xml:space="preserve"> </v>
      </c>
      <c r="F44" s="94" t="str">
        <f>IF($A44="Totals",SUM(F$14:F43),IF($A44=" "," ",($B44+$C44)*($G$8/100)))</f>
        <v xml:space="preserve"> </v>
      </c>
      <c r="G44" s="95" t="str">
        <f>IF($A44="Totals",SUM(G$14:G43),IF($A44=" "," ",D44*($C$11/100)))</f>
        <v xml:space="preserve"> </v>
      </c>
      <c r="H44" s="95" t="str">
        <f>IF($A44="Totals",SUM(H$14:H43),IF($A44=" "," ",E44*($E$11/100)))</f>
        <v xml:space="preserve"> </v>
      </c>
      <c r="I44" s="95" t="str">
        <f>IF($A44="Totals",SUM(I$14:I43),IF($A44=" "," ",SUM(G44:H44)))</f>
        <v xml:space="preserve"> </v>
      </c>
      <c r="J44" s="95" t="str">
        <f>IF($A44="Totals",SUM(J$14:J43),IF($A44=" "," ",FV($G$11/100,$G$4-A44,0,-I44)))</f>
        <v xml:space="preserve"> </v>
      </c>
    </row>
    <row r="45" spans="1:10">
      <c r="A45" s="77" t="str">
        <f t="shared" si="0"/>
        <v xml:space="preserve"> </v>
      </c>
      <c r="B45" s="93" t="str">
        <f t="shared" si="1"/>
        <v xml:space="preserve"> </v>
      </c>
      <c r="C45" s="93" t="str">
        <f>IF($A45="Totals",SUM(C$14:C44),IF($A45=" "," ",$E$4))</f>
        <v xml:space="preserve"> </v>
      </c>
      <c r="D45" s="94" t="str">
        <f>IF($A45="Totals",SUM(D$14:D44),IF($A45=" "," ",($B45+$C45)*($C$8/100)))</f>
        <v xml:space="preserve"> </v>
      </c>
      <c r="E45" s="94" t="str">
        <f>IF($A45="Totals",SUM(E$14:E44),IF($A45=" "," ",($B45+$C45)*($E$8/100)))</f>
        <v xml:space="preserve"> </v>
      </c>
      <c r="F45" s="94" t="str">
        <f>IF($A45="Totals",SUM(F$14:F44),IF($A45=" "," ",($B45+$C45)*($G$8/100)))</f>
        <v xml:space="preserve"> </v>
      </c>
      <c r="G45" s="95" t="str">
        <f>IF($A45="Totals",SUM(G$14:G44),IF($A45=" "," ",D45*($C$11/100)))</f>
        <v xml:space="preserve"> </v>
      </c>
      <c r="H45" s="95" t="str">
        <f>IF($A45="Totals",SUM(H$14:H44),IF($A45=" "," ",E45*($E$11/100)))</f>
        <v xml:space="preserve"> </v>
      </c>
      <c r="I45" s="95" t="str">
        <f>IF($A45="Totals",SUM(I$14:I44),IF($A45=" "," ",SUM(G45:H45)))</f>
        <v xml:space="preserve"> </v>
      </c>
      <c r="J45" s="95" t="str">
        <f>IF($A45="Totals",SUM(J$14:J44),IF($A45=" "," ",FV($G$11/100,$G$4-A45,0,-I45)))</f>
        <v xml:space="preserve"> </v>
      </c>
    </row>
    <row r="46" spans="1:10">
      <c r="A46" s="77" t="str">
        <f t="shared" si="0"/>
        <v xml:space="preserve"> </v>
      </c>
      <c r="B46" s="93" t="str">
        <f t="shared" si="1"/>
        <v xml:space="preserve"> </v>
      </c>
      <c r="C46" s="93" t="str">
        <f>IF($A46="Totals",SUM(C$14:C45),IF($A46=" "," ",$E$4))</f>
        <v xml:space="preserve"> </v>
      </c>
      <c r="D46" s="94" t="str">
        <f>IF($A46="Totals",SUM(D$14:D45),IF($A46=" "," ",($B46+$C46)*($C$8/100)))</f>
        <v xml:space="preserve"> </v>
      </c>
      <c r="E46" s="94" t="str">
        <f>IF($A46="Totals",SUM(E$14:E45),IF($A46=" "," ",($B46+$C46)*($E$8/100)))</f>
        <v xml:space="preserve"> </v>
      </c>
      <c r="F46" s="94" t="str">
        <f>IF($A46="Totals",SUM(F$14:F45),IF($A46=" "," ",($B46+$C46)*($G$8/100)))</f>
        <v xml:space="preserve"> </v>
      </c>
      <c r="G46" s="95" t="str">
        <f>IF($A46="Totals",SUM(G$14:G45),IF($A46=" "," ",D46*($C$11/100)))</f>
        <v xml:space="preserve"> </v>
      </c>
      <c r="H46" s="95" t="str">
        <f>IF($A46="Totals",SUM(H$14:H45),IF($A46=" "," ",E46*($E$11/100)))</f>
        <v xml:space="preserve"> </v>
      </c>
      <c r="I46" s="95" t="str">
        <f>IF($A46="Totals",SUM(I$14:I45),IF($A46=" "," ",SUM(G46:H46)))</f>
        <v xml:space="preserve"> </v>
      </c>
      <c r="J46" s="95" t="str">
        <f>IF($A46="Totals",SUM(J$14:J45),IF($A46=" "," ",FV($G$11/100,$G$4-A46,0,-I46)))</f>
        <v xml:space="preserve"> </v>
      </c>
    </row>
    <row r="47" spans="1:10">
      <c r="A47" s="77" t="str">
        <f t="shared" si="0"/>
        <v xml:space="preserve"> </v>
      </c>
      <c r="B47" s="93" t="str">
        <f t="shared" si="1"/>
        <v xml:space="preserve"> </v>
      </c>
      <c r="C47" s="93" t="str">
        <f>IF($A47="Totals",SUM(C$14:C46),IF($A47=" "," ",$E$4))</f>
        <v xml:space="preserve"> </v>
      </c>
      <c r="D47" s="94" t="str">
        <f>IF($A47="Totals",SUM(D$14:D46),IF($A47=" "," ",($B47+$C47)*($C$8/100)))</f>
        <v xml:space="preserve"> </v>
      </c>
      <c r="E47" s="94" t="str">
        <f>IF($A47="Totals",SUM(E$14:E46),IF($A47=" "," ",($B47+$C47)*($E$8/100)))</f>
        <v xml:space="preserve"> </v>
      </c>
      <c r="F47" s="94" t="str">
        <f>IF($A47="Totals",SUM(F$14:F46),IF($A47=" "," ",($B47+$C47)*($G$8/100)))</f>
        <v xml:space="preserve"> </v>
      </c>
      <c r="G47" s="95" t="str">
        <f>IF($A47="Totals",SUM(G$14:G46),IF($A47=" "," ",D47*($C$11/100)))</f>
        <v xml:space="preserve"> </v>
      </c>
      <c r="H47" s="95" t="str">
        <f>IF($A47="Totals",SUM(H$14:H46),IF($A47=" "," ",E47*($E$11/100)))</f>
        <v xml:space="preserve"> </v>
      </c>
      <c r="I47" s="95" t="str">
        <f>IF($A47="Totals",SUM(I$14:I46),IF($A47=" "," ",SUM(G47:H47)))</f>
        <v xml:space="preserve"> </v>
      </c>
      <c r="J47" s="95" t="str">
        <f>IF($A47="Totals",SUM(J$14:J46),IF($A47=" "," ",FV($G$11/100,$G$4-A47,0,-I47)))</f>
        <v xml:space="preserve"> </v>
      </c>
    </row>
    <row r="48" spans="1:10">
      <c r="A48" s="77" t="str">
        <f t="shared" ref="A48:A66" si="2">IF($A47="Totals"," ",IF(A47=" "," ",IF($A47=$G$4,"Totals",$A47+1)))</f>
        <v xml:space="preserve"> </v>
      </c>
      <c r="B48" s="93" t="str">
        <f t="shared" ref="B48:B63" si="3">IF($A48="Totals",SUM(B47:F47),IF($A48=" "," ",SUM(B47:F47)))</f>
        <v xml:space="preserve"> </v>
      </c>
      <c r="C48" s="93" t="str">
        <f>IF($A48="Totals",SUM(C$14:C47),IF($A48=" "," ",$E$4))</f>
        <v xml:space="preserve"> </v>
      </c>
      <c r="D48" s="94" t="str">
        <f>IF($A48="Totals",SUM(D$14:D47),IF($A48=" "," ",($B48+$C48)*($C$8/100)))</f>
        <v xml:space="preserve"> </v>
      </c>
      <c r="E48" s="94" t="str">
        <f>IF($A48="Totals",SUM(E$14:E47),IF($A48=" "," ",($B48+$C48)*($E$8/100)))</f>
        <v xml:space="preserve"> </v>
      </c>
      <c r="F48" s="94" t="str">
        <f>IF($A48="Totals",SUM(F$14:F47),IF($A48=" "," ",($B48+$C48)*($G$8/100)))</f>
        <v xml:space="preserve"> </v>
      </c>
      <c r="G48" s="95" t="str">
        <f>IF($A48="Totals",SUM(G$14:G47),IF($A48=" "," ",D48*($C$11/100)))</f>
        <v xml:space="preserve"> </v>
      </c>
      <c r="H48" s="95" t="str">
        <f>IF($A48="Totals",SUM(H$14:H47),IF($A48=" "," ",E48*($E$11/100)))</f>
        <v xml:space="preserve"> </v>
      </c>
      <c r="I48" s="95" t="str">
        <f>IF($A48="Totals",SUM(I$14:I47),IF($A48=" "," ",SUM(G48:H48)))</f>
        <v xml:space="preserve"> </v>
      </c>
      <c r="J48" s="95" t="str">
        <f>IF($A48="Totals",SUM(J$14:J47),IF($A48=" "," ",FV($G$11/100,$G$4-A48,0,-I48)))</f>
        <v xml:space="preserve"> </v>
      </c>
    </row>
    <row r="49" spans="1:10">
      <c r="A49" s="77" t="str">
        <f t="shared" si="2"/>
        <v xml:space="preserve"> </v>
      </c>
      <c r="B49" s="93" t="str">
        <f t="shared" si="3"/>
        <v xml:space="preserve"> </v>
      </c>
      <c r="C49" s="93" t="str">
        <f>IF($A49="Totals",SUM(C$14:C48),IF($A49=" "," ",$E$4))</f>
        <v xml:space="preserve"> </v>
      </c>
      <c r="D49" s="94" t="str">
        <f>IF($A49="Totals",SUM(D$14:D48),IF($A49=" "," ",($B49+$C49)*($C$8/100)))</f>
        <v xml:space="preserve"> </v>
      </c>
      <c r="E49" s="94" t="str">
        <f>IF($A49="Totals",SUM(E$14:E48),IF($A49=" "," ",($B49+$C49)*($E$8/100)))</f>
        <v xml:space="preserve"> </v>
      </c>
      <c r="F49" s="94" t="str">
        <f>IF($A49="Totals",SUM(F$14:F48),IF($A49=" "," ",($B49+$C49)*($G$8/100)))</f>
        <v xml:space="preserve"> </v>
      </c>
      <c r="G49" s="95" t="str">
        <f>IF($A49="Totals",SUM(G$14:G48),IF($A49=" "," ",D49*($C$11/100)))</f>
        <v xml:space="preserve"> </v>
      </c>
      <c r="H49" s="95" t="str">
        <f>IF($A49="Totals",SUM(H$14:H48),IF($A49=" "," ",E49*($E$11/100)))</f>
        <v xml:space="preserve"> </v>
      </c>
      <c r="I49" s="95" t="str">
        <f>IF($A49="Totals",SUM(I$14:I48),IF($A49=" "," ",SUM(G49:H49)))</f>
        <v xml:space="preserve"> </v>
      </c>
      <c r="J49" s="95" t="str">
        <f>IF($A49="Totals",SUM(J$14:J48),IF($A49=" "," ",FV($G$11/100,$G$4-A49,0,-I49)))</f>
        <v xml:space="preserve"> </v>
      </c>
    </row>
    <row r="50" spans="1:10">
      <c r="A50" s="77" t="str">
        <f t="shared" si="2"/>
        <v xml:space="preserve"> </v>
      </c>
      <c r="B50" s="93" t="str">
        <f t="shared" si="3"/>
        <v xml:space="preserve"> </v>
      </c>
      <c r="C50" s="93" t="str">
        <f>IF($A50="Totals",SUM(C$14:C49),IF($A50=" "," ",$E$4))</f>
        <v xml:space="preserve"> </v>
      </c>
      <c r="D50" s="94" t="str">
        <f>IF($A50="Totals",SUM(D$14:D49),IF($A50=" "," ",($B50+$C50)*($C$8/100)))</f>
        <v xml:space="preserve"> </v>
      </c>
      <c r="E50" s="94" t="str">
        <f>IF($A50="Totals",SUM(E$14:E49),IF($A50=" "," ",($B50+$C50)*($E$8/100)))</f>
        <v xml:space="preserve"> </v>
      </c>
      <c r="F50" s="94" t="str">
        <f>IF($A50="Totals",SUM(F$14:F49),IF($A50=" "," ",($B50+$C50)*($G$8/100)))</f>
        <v xml:space="preserve"> </v>
      </c>
      <c r="G50" s="95" t="str">
        <f>IF($A50="Totals",SUM(G$14:G49),IF($A50=" "," ",D50*($C$11/100)))</f>
        <v xml:space="preserve"> </v>
      </c>
      <c r="H50" s="95" t="str">
        <f>IF($A50="Totals",SUM(H$14:H49),IF($A50=" "," ",E50*($E$11/100)))</f>
        <v xml:space="preserve"> </v>
      </c>
      <c r="I50" s="95" t="str">
        <f>IF($A50="Totals",SUM(I$14:I49),IF($A50=" "," ",SUM(G50:H50)))</f>
        <v xml:space="preserve"> </v>
      </c>
      <c r="J50" s="95" t="str">
        <f>IF($A50="Totals",SUM(J$14:J49),IF($A50=" "," ",FV($G$11/100,$G$4-A50,0,-I50)))</f>
        <v xml:space="preserve"> </v>
      </c>
    </row>
    <row r="51" spans="1:10">
      <c r="A51" s="77" t="str">
        <f t="shared" si="2"/>
        <v xml:space="preserve"> </v>
      </c>
      <c r="B51" s="93" t="str">
        <f t="shared" si="3"/>
        <v xml:space="preserve"> </v>
      </c>
      <c r="C51" s="93" t="str">
        <f>IF($A51="Totals",SUM(C$14:C50),IF($A51=" "," ",$E$4))</f>
        <v xml:space="preserve"> </v>
      </c>
      <c r="D51" s="94" t="str">
        <f>IF($A51="Totals",SUM(D$14:D50),IF($A51=" "," ",($B51+$C51)*($C$8/100)))</f>
        <v xml:space="preserve"> </v>
      </c>
      <c r="E51" s="94" t="str">
        <f>IF($A51="Totals",SUM(E$14:E50),IF($A51=" "," ",($B51+$C51)*($E$8/100)))</f>
        <v xml:space="preserve"> </v>
      </c>
      <c r="F51" s="94" t="str">
        <f>IF($A51="Totals",SUM(F$14:F50),IF($A51=" "," ",($B51+$C51)*($G$8/100)))</f>
        <v xml:space="preserve"> </v>
      </c>
      <c r="G51" s="95" t="str">
        <f>IF($A51="Totals",SUM(G$14:G50),IF($A51=" "," ",D51*($C$11/100)))</f>
        <v xml:space="preserve"> </v>
      </c>
      <c r="H51" s="95" t="str">
        <f>IF($A51="Totals",SUM(H$14:H50),IF($A51=" "," ",E51*($E$11/100)))</f>
        <v xml:space="preserve"> </v>
      </c>
      <c r="I51" s="95" t="str">
        <f>IF($A51="Totals",SUM(I$14:I50),IF($A51=" "," ",SUM(G51:H51)))</f>
        <v xml:space="preserve"> </v>
      </c>
      <c r="J51" s="95" t="str">
        <f>IF($A51="Totals",SUM(J$14:J50),IF($A51=" "," ",FV($G$11/100,$G$4-A51,0,-I51)))</f>
        <v xml:space="preserve"> </v>
      </c>
    </row>
    <row r="52" spans="1:10">
      <c r="A52" s="77" t="str">
        <f t="shared" si="2"/>
        <v xml:space="preserve"> </v>
      </c>
      <c r="B52" s="93" t="str">
        <f t="shared" si="3"/>
        <v xml:space="preserve"> </v>
      </c>
      <c r="C52" s="93" t="str">
        <f>IF($A52="Totals",SUM(C$14:C51),IF($A52=" "," ",$E$4))</f>
        <v xml:space="preserve"> </v>
      </c>
      <c r="D52" s="94" t="str">
        <f>IF($A52="Totals",SUM(D$14:D51),IF($A52=" "," ",($B52+$C52)*($C$8/100)))</f>
        <v xml:space="preserve"> </v>
      </c>
      <c r="E52" s="94" t="str">
        <f>IF($A52="Totals",SUM(E$14:E51),IF($A52=" "," ",($B52+$C52)*($E$8/100)))</f>
        <v xml:space="preserve"> </v>
      </c>
      <c r="F52" s="94" t="str">
        <f>IF($A52="Totals",SUM(F$14:F51),IF($A52=" "," ",($B52+$C52)*($G$8/100)))</f>
        <v xml:space="preserve"> </v>
      </c>
      <c r="G52" s="95" t="str">
        <f>IF($A52="Totals",SUM(G$14:G51),IF($A52=" "," ",D52*($C$11/100)))</f>
        <v xml:space="preserve"> </v>
      </c>
      <c r="H52" s="95" t="str">
        <f>IF($A52="Totals",SUM(H$14:H51),IF($A52=" "," ",E52*($E$11/100)))</f>
        <v xml:space="preserve"> </v>
      </c>
      <c r="I52" s="95" t="str">
        <f>IF($A52="Totals",SUM(I$14:I51),IF($A52=" "," ",SUM(G52:H52)))</f>
        <v xml:space="preserve"> </v>
      </c>
      <c r="J52" s="95" t="str">
        <f>IF($A52="Totals",SUM(J$14:J51),IF($A52=" "," ",FV($G$11/100,$G$4-A52,0,-I52)))</f>
        <v xml:space="preserve"> </v>
      </c>
    </row>
    <row r="53" spans="1:10">
      <c r="A53" s="77" t="str">
        <f t="shared" si="2"/>
        <v xml:space="preserve"> </v>
      </c>
      <c r="B53" s="93" t="str">
        <f t="shared" si="3"/>
        <v xml:space="preserve"> </v>
      </c>
      <c r="C53" s="93" t="str">
        <f>IF($A53="Totals",SUM(C$14:C52),IF($A53=" "," ",$E$4))</f>
        <v xml:space="preserve"> </v>
      </c>
      <c r="D53" s="94" t="str">
        <f>IF($A53="Totals",SUM(D$14:D52),IF($A53=" "," ",($B53+$C53)*($C$8/100)))</f>
        <v xml:space="preserve"> </v>
      </c>
      <c r="E53" s="94" t="str">
        <f>IF($A53="Totals",SUM(E$14:E52),IF($A53=" "," ",($B53+$C53)*($E$8/100)))</f>
        <v xml:space="preserve"> </v>
      </c>
      <c r="F53" s="94" t="str">
        <f>IF($A53="Totals",SUM(F$14:F52),IF($A53=" "," ",($B53+$C53)*($G$8/100)))</f>
        <v xml:space="preserve"> </v>
      </c>
      <c r="G53" s="95" t="str">
        <f>IF($A53="Totals",SUM(G$14:G52),IF($A53=" "," ",D53*($C$11/100)))</f>
        <v xml:space="preserve"> </v>
      </c>
      <c r="H53" s="95" t="str">
        <f>IF($A53="Totals",SUM(H$14:H52),IF($A53=" "," ",E53*($E$11/100)))</f>
        <v xml:space="preserve"> </v>
      </c>
      <c r="I53" s="95" t="str">
        <f>IF($A53="Totals",SUM(I$14:I52),IF($A53=" "," ",SUM(G53:H53)))</f>
        <v xml:space="preserve"> </v>
      </c>
      <c r="J53" s="95" t="str">
        <f>IF($A53="Totals",SUM(J$14:J52),IF($A53=" "," ",FV($G$11/100,$G$4-A53,0,-I53)))</f>
        <v xml:space="preserve"> </v>
      </c>
    </row>
    <row r="54" spans="1:10">
      <c r="A54" s="77" t="str">
        <f t="shared" si="2"/>
        <v xml:space="preserve"> </v>
      </c>
      <c r="B54" s="93" t="str">
        <f t="shared" si="3"/>
        <v xml:space="preserve"> </v>
      </c>
      <c r="C54" s="93" t="str">
        <f>IF($A54="Totals",SUM(C$14:C53),IF($A54=" "," ",$E$4))</f>
        <v xml:space="preserve"> </v>
      </c>
      <c r="D54" s="94" t="str">
        <f>IF($A54="Totals",SUM(D$14:D53),IF($A54=" "," ",($B54+$C54)*($C$8/100)))</f>
        <v xml:space="preserve"> </v>
      </c>
      <c r="E54" s="94" t="str">
        <f>IF($A54="Totals",SUM(E$14:E53),IF($A54=" "," ",($B54+$C54)*($E$8/100)))</f>
        <v xml:space="preserve"> </v>
      </c>
      <c r="F54" s="94" t="str">
        <f>IF($A54="Totals",SUM(F$14:F53),IF($A54=" "," ",($B54+$C54)*($G$8/100)))</f>
        <v xml:space="preserve"> </v>
      </c>
      <c r="G54" s="95" t="str">
        <f>IF($A54="Totals",SUM(G$14:G53),IF($A54=" "," ",D54*($C$11/100)))</f>
        <v xml:space="preserve"> </v>
      </c>
      <c r="H54" s="95" t="str">
        <f>IF($A54="Totals",SUM(H$14:H53),IF($A54=" "," ",E54*($E$11/100)))</f>
        <v xml:space="preserve"> </v>
      </c>
      <c r="I54" s="95" t="str">
        <f>IF($A54="Totals",SUM(I$14:I53),IF($A54=" "," ",SUM(G54:H54)))</f>
        <v xml:space="preserve"> </v>
      </c>
      <c r="J54" s="95" t="str">
        <f>IF($A54="Totals",SUM(J$14:J53),IF($A54=" "," ",FV($G$11/100,$G$4-A54,0,-I54)))</f>
        <v xml:space="preserve"> </v>
      </c>
    </row>
    <row r="55" spans="1:10">
      <c r="A55" s="77" t="str">
        <f t="shared" si="2"/>
        <v xml:space="preserve"> </v>
      </c>
      <c r="B55" s="93" t="str">
        <f t="shared" si="3"/>
        <v xml:space="preserve"> </v>
      </c>
      <c r="C55" s="93" t="str">
        <f>IF($A55="Totals",SUM(C$14:C54),IF($A55=" "," ",$E$4))</f>
        <v xml:space="preserve"> </v>
      </c>
      <c r="D55" s="94" t="str">
        <f>IF($A55="Totals",SUM(D$14:D54),IF($A55=" "," ",($B55+$C55)*($C$8/100)))</f>
        <v xml:space="preserve"> </v>
      </c>
      <c r="E55" s="94" t="str">
        <f>IF($A55="Totals",SUM(E$14:E54),IF($A55=" "," ",($B55+$C55)*($E$8/100)))</f>
        <v xml:space="preserve"> </v>
      </c>
      <c r="F55" s="94" t="str">
        <f>IF($A55="Totals",SUM(F$14:F54),IF($A55=" "," ",($B55+$C55)*($G$8/100)))</f>
        <v xml:space="preserve"> </v>
      </c>
      <c r="G55" s="95" t="str">
        <f>IF($A55="Totals",SUM(G$14:G54),IF($A55=" "," ",D55*($C$11/100)))</f>
        <v xml:space="preserve"> </v>
      </c>
      <c r="H55" s="95" t="str">
        <f>IF($A55="Totals",SUM(H$14:H54),IF($A55=" "," ",E55*($E$11/100)))</f>
        <v xml:space="preserve"> </v>
      </c>
      <c r="I55" s="95" t="str">
        <f>IF($A55="Totals",SUM(I$14:I54),IF($A55=" "," ",SUM(G55:H55)))</f>
        <v xml:space="preserve"> </v>
      </c>
      <c r="J55" s="95" t="str">
        <f>IF($A55="Totals",SUM(J$14:J54),IF($A55=" "," ",FV($G$11/100,$G$4-A55,0,-I55)))</f>
        <v xml:space="preserve"> </v>
      </c>
    </row>
    <row r="56" spans="1:10">
      <c r="A56" s="77" t="str">
        <f t="shared" si="2"/>
        <v xml:space="preserve"> </v>
      </c>
      <c r="B56" s="93" t="str">
        <f t="shared" si="3"/>
        <v xml:space="preserve"> </v>
      </c>
      <c r="C56" s="93" t="str">
        <f>IF($A56="Totals",SUM(C$14:C55),IF($A56=" "," ",$E$4))</f>
        <v xml:space="preserve"> </v>
      </c>
      <c r="D56" s="94" t="str">
        <f>IF($A56="Totals",SUM(D$14:D55),IF($A56=" "," ",($B56+$C56)*($C$8/100)))</f>
        <v xml:space="preserve"> </v>
      </c>
      <c r="E56" s="94" t="str">
        <f>IF($A56="Totals",SUM(E$14:E55),IF($A56=" "," ",($B56+$C56)*($E$8/100)))</f>
        <v xml:space="preserve"> </v>
      </c>
      <c r="F56" s="94" t="str">
        <f>IF($A56="Totals",SUM(F$14:F55),IF($A56=" "," ",($B56+$C56)*($G$8/100)))</f>
        <v xml:space="preserve"> </v>
      </c>
      <c r="G56" s="95" t="str">
        <f>IF($A56="Totals",SUM(G$14:G55),IF($A56=" "," ",D56*($C$11/100)))</f>
        <v xml:space="preserve"> </v>
      </c>
      <c r="H56" s="95" t="str">
        <f>IF($A56="Totals",SUM(H$14:H55),IF($A56=" "," ",E56*($E$11/100)))</f>
        <v xml:space="preserve"> </v>
      </c>
      <c r="I56" s="95" t="str">
        <f>IF($A56="Totals",SUM(I$14:I55),IF($A56=" "," ",SUM(G56:H56)))</f>
        <v xml:space="preserve"> </v>
      </c>
      <c r="J56" s="95" t="str">
        <f>IF($A56="Totals",SUM(J$14:J55),IF($A56=" "," ",FV($G$11/100,$G$4-A56,0,-I56)))</f>
        <v xml:space="preserve"> </v>
      </c>
    </row>
    <row r="57" spans="1:10">
      <c r="A57" s="77" t="str">
        <f t="shared" si="2"/>
        <v xml:space="preserve"> </v>
      </c>
      <c r="B57" s="93" t="str">
        <f t="shared" si="3"/>
        <v xml:space="preserve"> </v>
      </c>
      <c r="C57" s="93" t="str">
        <f>IF($A57="Totals",SUM(C$14:C56),IF($A57=" "," ",$E$4))</f>
        <v xml:space="preserve"> </v>
      </c>
      <c r="D57" s="94" t="str">
        <f>IF($A57="Totals",SUM(D$14:D56),IF($A57=" "," ",($B57+$C57)*($C$8/100)))</f>
        <v xml:space="preserve"> </v>
      </c>
      <c r="E57" s="94" t="str">
        <f>IF($A57="Totals",SUM(E$14:E56),IF($A57=" "," ",($B57+$C57)*($E$8/100)))</f>
        <v xml:space="preserve"> </v>
      </c>
      <c r="F57" s="94" t="str">
        <f>IF($A57="Totals",SUM(F$14:F56),IF($A57=" "," ",($B57+$C57)*($G$8/100)))</f>
        <v xml:space="preserve"> </v>
      </c>
      <c r="G57" s="95" t="str">
        <f>IF($A57="Totals",SUM(G$14:G56),IF($A57=" "," ",D57*($C$11/100)))</f>
        <v xml:space="preserve"> </v>
      </c>
      <c r="H57" s="95" t="str">
        <f>IF($A57="Totals",SUM(H$14:H56),IF($A57=" "," ",E57*($E$11/100)))</f>
        <v xml:space="preserve"> </v>
      </c>
      <c r="I57" s="95" t="str">
        <f>IF($A57="Totals",SUM(I$14:I56),IF($A57=" "," ",SUM(G57:H57)))</f>
        <v xml:space="preserve"> </v>
      </c>
      <c r="J57" s="95" t="str">
        <f>IF($A57="Totals",SUM(J$14:J56),IF($A57=" "," ",FV($G$11/100,$G$4-A57,0,-I57)))</f>
        <v xml:space="preserve"> </v>
      </c>
    </row>
    <row r="58" spans="1:10">
      <c r="A58" s="77" t="str">
        <f t="shared" si="2"/>
        <v xml:space="preserve"> </v>
      </c>
      <c r="B58" s="93" t="str">
        <f t="shared" si="3"/>
        <v xml:space="preserve"> </v>
      </c>
      <c r="C58" s="93" t="str">
        <f>IF($A58="Totals",SUM(C$14:C57),IF($A58=" "," ",$E$4))</f>
        <v xml:space="preserve"> </v>
      </c>
      <c r="D58" s="94" t="str">
        <f>IF($A58="Totals",SUM(D$14:D57),IF($A58=" "," ",($B58+$C58)*($C$8/100)))</f>
        <v xml:space="preserve"> </v>
      </c>
      <c r="E58" s="94" t="str">
        <f>IF($A58="Totals",SUM(E$14:E57),IF($A58=" "," ",($B58+$C58)*($E$8/100)))</f>
        <v xml:space="preserve"> </v>
      </c>
      <c r="F58" s="94" t="str">
        <f>IF($A58="Totals",SUM(F$14:F57),IF($A58=" "," ",($B58+$C58)*($G$8/100)))</f>
        <v xml:space="preserve"> </v>
      </c>
      <c r="G58" s="95" t="str">
        <f>IF($A58="Totals",SUM(G$14:G57),IF($A58=" "," ",D58*($C$11/100)))</f>
        <v xml:space="preserve"> </v>
      </c>
      <c r="H58" s="95" t="str">
        <f>IF($A58="Totals",SUM(H$14:H57),IF($A58=" "," ",E58*($E$11/100)))</f>
        <v xml:space="preserve"> </v>
      </c>
      <c r="I58" s="95" t="str">
        <f>IF($A58="Totals",SUM(I$14:I57),IF($A58=" "," ",SUM(G58:H58)))</f>
        <v xml:space="preserve"> </v>
      </c>
      <c r="J58" s="95" t="str">
        <f>IF($A58="Totals",SUM(J$14:J57),IF($A58=" "," ",FV($G$11/100,$G$4-A58,0,-I58)))</f>
        <v xml:space="preserve"> </v>
      </c>
    </row>
    <row r="59" spans="1:10">
      <c r="A59" s="77" t="str">
        <f t="shared" si="2"/>
        <v xml:space="preserve"> </v>
      </c>
      <c r="B59" s="93" t="str">
        <f t="shared" si="3"/>
        <v xml:space="preserve"> </v>
      </c>
      <c r="C59" s="93" t="str">
        <f>IF($A59="Totals",SUM(C$14:C58),IF($A59=" "," ",$E$4))</f>
        <v xml:space="preserve"> </v>
      </c>
      <c r="D59" s="94" t="str">
        <f>IF($A59="Totals",SUM(D$14:D58),IF($A59=" "," ",($B59+$C59)*($C$8/100)))</f>
        <v xml:space="preserve"> </v>
      </c>
      <c r="E59" s="94" t="str">
        <f>IF($A59="Totals",SUM(E$14:E58),IF($A59=" "," ",($B59+$C59)*($E$8/100)))</f>
        <v xml:space="preserve"> </v>
      </c>
      <c r="F59" s="94" t="str">
        <f>IF($A59="Totals",SUM(F$14:F58),IF($A59=" "," ",($B59+$C59)*($G$8/100)))</f>
        <v xml:space="preserve"> </v>
      </c>
      <c r="G59" s="95" t="str">
        <f>IF($A59="Totals",SUM(G$14:G58),IF($A59=" "," ",D59*($C$11/100)))</f>
        <v xml:space="preserve"> </v>
      </c>
      <c r="H59" s="95" t="str">
        <f>IF($A59="Totals",SUM(H$14:H58),IF($A59=" "," ",E59*($E$11/100)))</f>
        <v xml:space="preserve"> </v>
      </c>
      <c r="I59" s="95" t="str">
        <f>IF($A59="Totals",SUM(I$14:I58),IF($A59=" "," ",SUM(G59:H59)))</f>
        <v xml:space="preserve"> </v>
      </c>
      <c r="J59" s="95" t="str">
        <f>IF($A59="Totals",SUM(J$14:J58),IF($A59=" "," ",FV($G$11/100,$G$4-A59,0,-I59)))</f>
        <v xml:space="preserve"> </v>
      </c>
    </row>
    <row r="60" spans="1:10">
      <c r="A60" s="77" t="str">
        <f t="shared" si="2"/>
        <v xml:space="preserve"> </v>
      </c>
      <c r="B60" s="93" t="str">
        <f t="shared" si="3"/>
        <v xml:space="preserve"> </v>
      </c>
      <c r="C60" s="93" t="str">
        <f>IF($A60="Totals",SUM(C$14:C59),IF($A60=" "," ",$E$4))</f>
        <v xml:space="preserve"> </v>
      </c>
      <c r="D60" s="94" t="str">
        <f>IF($A60="Totals",SUM(D$14:D59),IF($A60=" "," ",($B60+$C60)*($C$8/100)))</f>
        <v xml:space="preserve"> </v>
      </c>
      <c r="E60" s="94" t="str">
        <f>IF($A60="Totals",SUM(E$14:E59),IF($A60=" "," ",($B60+$C60)*($E$8/100)))</f>
        <v xml:space="preserve"> </v>
      </c>
      <c r="F60" s="94" t="str">
        <f>IF($A60="Totals",SUM(F$14:F59),IF($A60=" "," ",($B60+$C60)*($G$8/100)))</f>
        <v xml:space="preserve"> </v>
      </c>
      <c r="G60" s="95" t="str">
        <f>IF($A60="Totals",SUM(G$14:G59),IF($A60=" "," ",D60*($C$11/100)))</f>
        <v xml:space="preserve"> </v>
      </c>
      <c r="H60" s="95" t="str">
        <f>IF($A60="Totals",SUM(H$14:H59),IF($A60=" "," ",E60*($E$11/100)))</f>
        <v xml:space="preserve"> </v>
      </c>
      <c r="I60" s="95" t="str">
        <f>IF($A60="Totals",SUM(I$14:I59),IF($A60=" "," ",SUM(G60:H60)))</f>
        <v xml:space="preserve"> </v>
      </c>
      <c r="J60" s="95" t="str">
        <f>IF($A60="Totals",SUM(J$14:J59),IF($A60=" "," ",FV($G$11/100,$G$4-A60,0,-I60)))</f>
        <v xml:space="preserve"> </v>
      </c>
    </row>
    <row r="61" spans="1:10">
      <c r="A61" s="77" t="str">
        <f t="shared" si="2"/>
        <v xml:space="preserve"> </v>
      </c>
      <c r="B61" s="93" t="str">
        <f t="shared" si="3"/>
        <v xml:space="preserve"> </v>
      </c>
      <c r="C61" s="93" t="str">
        <f>IF($A61="Totals",SUM(C$14:C60),IF($A61=" "," ",$E$4))</f>
        <v xml:space="preserve"> </v>
      </c>
      <c r="D61" s="94" t="str">
        <f>IF($A61="Totals",SUM(D$14:D60),IF($A61=" "," ",($B61+$C61)*($C$8/100)))</f>
        <v xml:space="preserve"> </v>
      </c>
      <c r="E61" s="94" t="str">
        <f>IF($A61="Totals",SUM(E$14:E60),IF($A61=" "," ",($B61+$C61)*($E$8/100)))</f>
        <v xml:space="preserve"> </v>
      </c>
      <c r="F61" s="94" t="str">
        <f>IF($A61="Totals",SUM(F$14:F60),IF($A61=" "," ",($B61+$C61)*($G$8/100)))</f>
        <v xml:space="preserve"> </v>
      </c>
      <c r="G61" s="95" t="str">
        <f>IF($A61="Totals",SUM(G$14:G60),IF($A61=" "," ",D61*($C$11/100)))</f>
        <v xml:space="preserve"> </v>
      </c>
      <c r="H61" s="95" t="str">
        <f>IF($A61="Totals",SUM(H$14:H60),IF($A61=" "," ",E61*($E$11/100)))</f>
        <v xml:space="preserve"> </v>
      </c>
      <c r="I61" s="95" t="str">
        <f>IF($A61="Totals",SUM(I$14:I60),IF($A61=" "," ",SUM(G61:H61)))</f>
        <v xml:space="preserve"> </v>
      </c>
      <c r="J61" s="95" t="str">
        <f>IF($A61="Totals",SUM(J$14:J60),IF($A61=" "," ",FV($G$11/100,$G$4-A61,0,-I61)))</f>
        <v xml:space="preserve"> </v>
      </c>
    </row>
    <row r="62" spans="1:10">
      <c r="A62" s="77" t="str">
        <f t="shared" si="2"/>
        <v xml:space="preserve"> </v>
      </c>
      <c r="B62" s="93" t="str">
        <f t="shared" si="3"/>
        <v xml:space="preserve"> </v>
      </c>
      <c r="C62" s="93" t="str">
        <f>IF($A62="Totals",SUM(C$14:C61),IF($A62=" "," ",$E$4))</f>
        <v xml:space="preserve"> </v>
      </c>
      <c r="D62" s="94" t="str">
        <f>IF($A62="Totals",SUM(D$14:D61),IF($A62=" "," ",($B62+$C62)*($C$8/100)))</f>
        <v xml:space="preserve"> </v>
      </c>
      <c r="E62" s="94" t="str">
        <f>IF($A62="Totals",SUM(E$14:E61),IF($A62=" "," ",($B62+$C62)*($E$8/100)))</f>
        <v xml:space="preserve"> </v>
      </c>
      <c r="F62" s="94" t="str">
        <f>IF($A62="Totals",SUM(F$14:F61),IF($A62=" "," ",($B62+$C62)*($G$8/100)))</f>
        <v xml:space="preserve"> </v>
      </c>
      <c r="G62" s="95" t="str">
        <f>IF($A62="Totals",SUM(G$14:G61),IF($A62=" "," ",D62*($C$11/100)))</f>
        <v xml:space="preserve"> </v>
      </c>
      <c r="H62" s="95" t="str">
        <f>IF($A62="Totals",SUM(H$14:H61),IF($A62=" "," ",E62*($E$11/100)))</f>
        <v xml:space="preserve"> </v>
      </c>
      <c r="I62" s="95" t="str">
        <f>IF($A62="Totals",SUM(I$14:I61),IF($A62=" "," ",SUM(G62:H62)))</f>
        <v xml:space="preserve"> </v>
      </c>
      <c r="J62" s="95" t="str">
        <f>IF($A62="Totals",SUM(J$14:J61),IF($A62=" "," ",FV($G$11/100,$G$4-A62,0,-I62)))</f>
        <v xml:space="preserve"> </v>
      </c>
    </row>
    <row r="63" spans="1:10">
      <c r="A63" s="77" t="str">
        <f t="shared" si="2"/>
        <v xml:space="preserve"> </v>
      </c>
      <c r="B63" s="93" t="str">
        <f t="shared" si="3"/>
        <v xml:space="preserve"> </v>
      </c>
      <c r="C63" s="93" t="str">
        <f>IF($A63="Totals",SUM(C$14:C62),IF($A63=" "," ",$E$4))</f>
        <v xml:space="preserve"> </v>
      </c>
      <c r="D63" s="94" t="str">
        <f>IF($A63="Totals",SUM(D$14:D62),IF($A63=" "," ",($B63+$C63)*($C$8/100)))</f>
        <v xml:space="preserve"> </v>
      </c>
      <c r="E63" s="94" t="str">
        <f>IF($A63="Totals",SUM(E$14:E62),IF($A63=" "," ",($B63+$C63)*($E$8/100)))</f>
        <v xml:space="preserve"> </v>
      </c>
      <c r="F63" s="94" t="str">
        <f>IF($A63="Totals",SUM(F$14:F62),IF($A63=" "," ",($B63+$C63)*($G$8/100)))</f>
        <v xml:space="preserve"> </v>
      </c>
      <c r="G63" s="95" t="str">
        <f>IF($A63="Totals",SUM(G$14:G62),IF($A63=" "," ",D63*($C$11/100)))</f>
        <v xml:space="preserve"> </v>
      </c>
      <c r="H63" s="95" t="str">
        <f>IF($A63="Totals",SUM(H$14:H62),IF($A63=" "," ",E63*($E$11/100)))</f>
        <v xml:space="preserve"> </v>
      </c>
      <c r="I63" s="95" t="str">
        <f>IF($A63="Totals",SUM(I$14:I62),IF($A63=" "," ",SUM(G63:H63)))</f>
        <v xml:space="preserve"> </v>
      </c>
      <c r="J63" s="95" t="str">
        <f>IF($A63="Totals",SUM(J$14:J62),IF($A63=" "," ",FV($G$11/100,$G$4-A63,0,-I63)))</f>
        <v xml:space="preserve"> </v>
      </c>
    </row>
    <row r="64" spans="1:10">
      <c r="A64" s="77" t="str">
        <f t="shared" si="2"/>
        <v xml:space="preserve"> </v>
      </c>
      <c r="B64" s="93" t="str">
        <f>IF($A64="Totals",SUM(B63:F63),IF($A64=" "," ",SUM(B63:F63)))</f>
        <v xml:space="preserve"> </v>
      </c>
      <c r="C64" s="93" t="str">
        <f>IF($A64="Totals",SUM(C$14:C63),IF($A64=" "," ",$E$4))</f>
        <v xml:space="preserve"> </v>
      </c>
      <c r="D64" s="94" t="str">
        <f>IF($A64="Totals",SUM(D$14:D63),IF($A64=" "," ",($B64+$C64)*($C$8/100)))</f>
        <v xml:space="preserve"> </v>
      </c>
      <c r="E64" s="94" t="str">
        <f>IF($A64="Totals",SUM(E$14:E63),IF($A64=" "," ",($B64+$C64)*($E$8/100)))</f>
        <v xml:space="preserve"> </v>
      </c>
      <c r="F64" s="94" t="str">
        <f>IF($A64="Totals",SUM(F$14:F63),IF($A64=" "," ",($B64+$C64)*($G$8/100)))</f>
        <v xml:space="preserve"> </v>
      </c>
      <c r="G64" s="95" t="str">
        <f>IF($A64="Totals",SUM(G$14:G63),IF($A64=" "," ",D64*($C$11/100)))</f>
        <v xml:space="preserve"> </v>
      </c>
      <c r="H64" s="95" t="str">
        <f>IF($A64="Totals",SUM(H$14:H63),IF($A64=" "," ",E64*($E$11/100)))</f>
        <v xml:space="preserve"> </v>
      </c>
      <c r="I64" s="95" t="str">
        <f>IF($A64="Totals",SUM(I$14:I63),IF($A64=" "," ",SUM(G64:H64)))</f>
        <v xml:space="preserve"> </v>
      </c>
      <c r="J64" s="95" t="str">
        <f>IF($A64="Totals",SUM(J$14:J63),IF($A64=" "," ",FV($G$11/100,$G$4-A64,0,-I64)))</f>
        <v xml:space="preserve"> </v>
      </c>
    </row>
    <row r="65" spans="1:10">
      <c r="A65" s="77" t="str">
        <f t="shared" si="2"/>
        <v xml:space="preserve"> </v>
      </c>
      <c r="B65" s="93" t="str">
        <f>IF($A65="Totals",SUM(B64:F64),IF($A65=" "," ",SUM(B64:F64)))</f>
        <v xml:space="preserve"> </v>
      </c>
      <c r="C65" s="93" t="str">
        <f>IF($A65="Totals",SUM(C$14:C64),IF($A65=" "," ",$E$4))</f>
        <v xml:space="preserve"> </v>
      </c>
      <c r="D65" s="94" t="str">
        <f>IF($A65="Totals",SUM(D$14:D64),IF($A65=" "," ",($B65+$C65)*($C$8/100)))</f>
        <v xml:space="preserve"> </v>
      </c>
      <c r="E65" s="94" t="str">
        <f>IF($A65="Totals",SUM(E$14:E64),IF($A65=" "," ",($B65+$C65)*($E$8/100)))</f>
        <v xml:space="preserve"> </v>
      </c>
      <c r="F65" s="94" t="str">
        <f>IF($A65="Totals",SUM(F$14:F64),IF($A65=" "," ",($B65+$C65)*($G$8/100)))</f>
        <v xml:space="preserve"> </v>
      </c>
      <c r="G65" s="95" t="str">
        <f>IF($A65="Totals",SUM(G$14:G64),IF($A65=" "," ",D65*($C$11/100)))</f>
        <v xml:space="preserve"> </v>
      </c>
      <c r="H65" s="95" t="str">
        <f>IF($A65="Totals",SUM(H$14:H64),IF($A65=" "," ",E65*($E$11/100)))</f>
        <v xml:space="preserve"> </v>
      </c>
      <c r="I65" s="95" t="str">
        <f>IF($A65="Totals",SUM(I$14:I64),IF($A65=" "," ",SUM(G65:H65)))</f>
        <v xml:space="preserve"> </v>
      </c>
      <c r="J65" s="95" t="str">
        <f>IF($A65="Totals",SUM(J$14:J64),IF($A65=" "," ",FV($G$11/100,$G$4-A65,0,-I65)))</f>
        <v xml:space="preserve"> </v>
      </c>
    </row>
    <row r="66" spans="1:10">
      <c r="A66" s="73" t="str">
        <f t="shared" si="2"/>
        <v xml:space="preserve"> </v>
      </c>
      <c r="B66" t="str">
        <f>IF($A66="Totals",SUM($B$14:B65),IF($A66=" "," ",SUM(B65:F65)))</f>
        <v xml:space="preserve"> </v>
      </c>
      <c r="C66" t="str">
        <f>IF($A66="Totals",SUM($B$14:C65),IF($A66=" "," ",$E$4))</f>
        <v xml:space="preserve"> </v>
      </c>
      <c r="D66" t="str">
        <f>IF($A66="Totals",SUM(D$14:D65),IF($A66=" "," ",($B66+$C66)*($C$8/100)))</f>
        <v xml:space="preserve"> </v>
      </c>
      <c r="E66" t="str">
        <f>IF($A66="Totals",SUM(E$14:E65),IF($A66=" "," ",($B66+$C66)*($E$8/100)))</f>
        <v xml:space="preserve"> </v>
      </c>
      <c r="F66" t="str">
        <f>IF($A66="Totals",SUM(F$14:F65),IF($A66=" "," ",($B66+$C66)*($G$8/100)))</f>
        <v xml:space="preserve"> </v>
      </c>
      <c r="G66" t="str">
        <f>IF($A66="Totals",SUM(G$14:G65),IF($A66=" "," ",D66*($C$11/100)))</f>
        <v xml:space="preserve"> </v>
      </c>
      <c r="H66" t="str">
        <f>IF($A66="Totals",SUM(H$14:H65),IF($A66=" "," ",E66*($E$11/100)))</f>
        <v xml:space="preserve"> </v>
      </c>
      <c r="I66" t="str">
        <f>IF($A66="Totals",SUM(I$14:I65),IF($A66=" "," ",SUM(I$14:I65)))</f>
        <v xml:space="preserve"> </v>
      </c>
      <c r="J66" t="str">
        <f>IF($A66="Totals",SUM(J$14:J65),IF($A66=" "," ",$I66*HLOOKUP($G$11,#REF!,$G$4-A65+1)))</f>
        <v xml:space="preserve"> </v>
      </c>
    </row>
    <row r="67" spans="1:10">
      <c r="J67" s="96"/>
    </row>
  </sheetData>
  <phoneticPr fontId="0" type="noConversion"/>
  <printOptions horizontalCentered="1"/>
  <pageMargins left="0.5" right="0.5" top="0.5" bottom="0.5" header="0.5" footer="0.5"/>
  <pageSetup scale="82" orientation="portrait" r:id="rId1"/>
  <headerFooter alignWithMargins="0">
    <oddFooter>&amp;L&amp;8&amp;D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Increasing Tax</vt:lpstr>
      <vt:lpstr>Flat Tax</vt:lpstr>
      <vt:lpstr>LOC Savings</vt:lpstr>
      <vt:lpstr>Term LOC</vt:lpstr>
      <vt:lpstr>Paydown Calc</vt:lpstr>
      <vt:lpstr>Amort. Table 1</vt:lpstr>
      <vt:lpstr>Amort. Table 2</vt:lpstr>
      <vt:lpstr>Mtg. Tax Savings</vt:lpstr>
      <vt:lpstr>Compound Inv.</vt:lpstr>
      <vt:lpstr>Flat Tax Inv.</vt:lpstr>
      <vt:lpstr>Fut Value</vt:lpstr>
      <vt:lpstr>Var Ass</vt:lpstr>
      <vt:lpstr>Inflation</vt:lpstr>
      <vt:lpstr>Mtg Paydown Calc</vt:lpstr>
      <vt:lpstr>COMPOUNDLOC</vt:lpstr>
      <vt:lpstr>CURRENT_MORT</vt:lpstr>
      <vt:lpstr>FLAT_TAX</vt:lpstr>
      <vt:lpstr>HOME_EQUITY</vt:lpstr>
      <vt:lpstr>LOAN_AMORT.</vt:lpstr>
      <vt:lpstr>'Amort. Table 1'!Print_Area</vt:lpstr>
      <vt:lpstr>'Amort. Table 2'!Print_Area</vt:lpstr>
      <vt:lpstr>'Compound Inv.'!Print_Area</vt:lpstr>
      <vt:lpstr>'Flat Tax'!Print_Area</vt:lpstr>
      <vt:lpstr>'Flat Tax Inv.'!Print_Area</vt:lpstr>
      <vt:lpstr>'Increasing Tax'!Print_Area</vt:lpstr>
      <vt:lpstr>'Mtg. Tax Savings'!Print_Area</vt:lpstr>
      <vt:lpstr>'Paydown Calc'!Print_Area</vt:lpstr>
      <vt:lpstr>'Term LOC'!Print_Area</vt:lpstr>
    </vt:vector>
  </TitlesOfParts>
  <Company>First Financial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</dc:creator>
  <cp:lastModifiedBy>Compaq</cp:lastModifiedBy>
  <cp:lastPrinted>2017-12-01T21:57:05Z</cp:lastPrinted>
  <dcterms:created xsi:type="dcterms:W3CDTF">1996-02-17T01:57:52Z</dcterms:created>
  <dcterms:modified xsi:type="dcterms:W3CDTF">2018-07-23T21:15:00Z</dcterms:modified>
</cp:coreProperties>
</file>